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90" windowHeight="5080" activeTab="0"/>
  </bookViews>
  <sheets>
    <sheet name="Hela föreningen" sheetId="1" r:id="rId1"/>
    <sheet name="Fonderingar" sheetId="2" r:id="rId2"/>
    <sheet name="Klubbgemensamt" sheetId="3" r:id="rId3"/>
    <sheet name="Klubbmästeriet" sheetId="4" r:id="rId4"/>
    <sheet name="Kappsegling" sheetId="5" r:id="rId5"/>
    <sheet name="Junior" sheetId="6" r:id="rId6"/>
    <sheet name="Holmen" sheetId="7" r:id="rId7"/>
    <sheet name="Hamnen" sheetId="8" r:id="rId8"/>
    <sheet name="Gäddisregattan" sheetId="9" r:id="rId9"/>
  </sheets>
  <definedNames/>
  <calcPr fullCalcOnLoad="1"/>
</workbook>
</file>

<file path=xl/sharedStrings.xml><?xml version="1.0" encoding="utf-8"?>
<sst xmlns="http://schemas.openxmlformats.org/spreadsheetml/2006/main" count="42" uniqueCount="31">
  <si>
    <t>INTÄKTER</t>
  </si>
  <si>
    <t>KOSTNADER</t>
  </si>
  <si>
    <t>SUMMA</t>
  </si>
  <si>
    <t>Fonderingar 2017</t>
  </si>
  <si>
    <t>Fonderingskonto holme</t>
  </si>
  <si>
    <t>Fonderingskto-hamn</t>
  </si>
  <si>
    <t>Fonderingskto-Nuttens Miljöfond</t>
  </si>
  <si>
    <t>Fonderingskonto Läger</t>
  </si>
  <si>
    <t>Gem. Inv.fonden</t>
  </si>
  <si>
    <t>Fördelning</t>
  </si>
  <si>
    <t>Tillbaks till klubben</t>
  </si>
  <si>
    <t>Bidrag till klubben</t>
  </si>
  <si>
    <t>Kvar att fondera</t>
  </si>
  <si>
    <t xml:space="preserve">Lägrets intäkter ska gå till lägrets utgifter, men lägret ska </t>
  </si>
  <si>
    <t>ge ett bidrag till klibben på 5000kr</t>
  </si>
  <si>
    <t>Resultat</t>
  </si>
  <si>
    <t>Klubbbidrag</t>
  </si>
  <si>
    <t>Summa</t>
  </si>
  <si>
    <t>Saldo 2017</t>
  </si>
  <si>
    <t xml:space="preserve">Nytt Saldo: </t>
  </si>
  <si>
    <t>klubben på 10% av budgeterade intäkter</t>
  </si>
  <si>
    <t>Budgeterade intäkter 2017 var 137269kr, 10% är 13727kr</t>
  </si>
  <si>
    <t>Årets resultat</t>
  </si>
  <si>
    <t>Bidrag</t>
  </si>
  <si>
    <t>Kvar att fondera:</t>
  </si>
  <si>
    <t xml:space="preserve">Fonderingskonto: </t>
  </si>
  <si>
    <t>Nytt Saldo</t>
  </si>
  <si>
    <t>Lägret</t>
  </si>
  <si>
    <t>Hamn</t>
  </si>
  <si>
    <t>Gemensamma investeringsfonden</t>
  </si>
  <si>
    <t>Underskottet betalas av besparingar i fonderna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</si>
</sst>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_k_r"/>
    <numFmt numFmtId="169" formatCode="#,##0.00\ [$kr-41D];[Red]\-#,##0.00\ [$kr-41D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9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49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4" fontId="0" fillId="0" borderId="18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2" fontId="39" fillId="0" borderId="0" xfId="0" applyNumberFormat="1" applyFont="1" applyAlignment="1">
      <alignment/>
    </xf>
  </cellXfs>
  <cellStyles count="5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eading" xfId="45"/>
    <cellStyle name="Heading1" xfId="46"/>
    <cellStyle name="Hyperlink" xfId="47"/>
    <cellStyle name="Indata" xfId="48"/>
    <cellStyle name="Kontrollcell" xfId="49"/>
    <cellStyle name="Länkad cell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Percent" xfId="57"/>
    <cellStyle name="Procent 2" xfId="58"/>
    <cellStyle name="Result" xfId="59"/>
    <cellStyle name="Result2" xfId="60"/>
    <cellStyle name="Rubrik" xfId="61"/>
    <cellStyle name="Rubrik 1" xfId="62"/>
    <cellStyle name="Rubrik 2" xfId="63"/>
    <cellStyle name="Rubrik 3" xfId="64"/>
    <cellStyle name="Rubrik 4" xfId="65"/>
    <cellStyle name="Summa" xfId="66"/>
    <cellStyle name="Comma" xfId="67"/>
    <cellStyle name="Comma [0]" xfId="68"/>
    <cellStyle name="Utdata" xfId="69"/>
    <cellStyle name="Currency" xfId="70"/>
    <cellStyle name="Currency [0]" xfId="71"/>
    <cellStyle name="Varnings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68">
      <selection activeCell="B90" sqref="B90"/>
    </sheetView>
  </sheetViews>
  <sheetFormatPr defaultColWidth="9.140625" defaultRowHeight="15"/>
  <cols>
    <col min="1" max="1" width="29.8515625" style="0" bestFit="1" customWidth="1"/>
    <col min="2" max="2" width="35.57421875" style="0" bestFit="1" customWidth="1"/>
    <col min="3" max="3" width="12.57421875" style="0" bestFit="1" customWidth="1"/>
    <col min="4" max="4" width="10.421875" style="0" bestFit="1" customWidth="1"/>
    <col min="6" max="6" width="16.421875" style="0" customWidth="1"/>
    <col min="8" max="8" width="12.28125" style="0" customWidth="1"/>
    <col min="9" max="9" width="13.140625" style="0" customWidth="1"/>
  </cols>
  <sheetData>
    <row r="1" spans="1:4" ht="14.25">
      <c r="A1" s="1" t="str">
        <f>"SegelSällskapet Gäddviken, SSG"</f>
        <v>SegelSällskapet Gäddviken, SSG</v>
      </c>
      <c r="C1" s="1" t="str">
        <f>"Sida:"</f>
        <v>Sida:</v>
      </c>
      <c r="D1" s="1" t="str">
        <f>"1"</f>
        <v>1</v>
      </c>
    </row>
    <row r="2" spans="1:4" ht="14.25">
      <c r="A2" s="1" t="str">
        <f>"Resultatbudget"</f>
        <v>Resultatbudget</v>
      </c>
      <c r="C2" s="1" t="str">
        <f>"Utskrivet:"</f>
        <v>Utskrivet:</v>
      </c>
      <c r="D2" s="2">
        <v>42757</v>
      </c>
    </row>
    <row r="3" ht="14.25">
      <c r="D3" s="1" t="str">
        <f>"12:10"</f>
        <v>12:10</v>
      </c>
    </row>
    <row r="4" spans="1:3" ht="14.25">
      <c r="A4" s="1" t="str">
        <f>"Räkenskapsår: 17-01-01 - 17-12-31"</f>
        <v>Räkenskapsår: 17-01-01 - 17-12-31</v>
      </c>
      <c r="C4" s="1" t="str">
        <f>"Senaste vernr:"</f>
        <v>Senaste vernr:</v>
      </c>
    </row>
    <row r="5" spans="1:3" ht="14.25">
      <c r="A5" s="1" t="str">
        <f>"Konto"</f>
        <v>Konto</v>
      </c>
      <c r="B5" s="1" t="str">
        <f>"Benämning"</f>
        <v>Benämning</v>
      </c>
      <c r="C5" s="1" t="str">
        <f>"Budgeterat"</f>
        <v>Budgeterat</v>
      </c>
    </row>
    <row r="6" spans="1:4" ht="14.25">
      <c r="A6" s="5" t="s">
        <v>0</v>
      </c>
      <c r="B6" s="3"/>
      <c r="C6" s="3"/>
      <c r="D6" s="3"/>
    </row>
    <row r="7" spans="1:3" ht="14.25">
      <c r="A7" s="1" t="str">
        <f>"3053"</f>
        <v>3053</v>
      </c>
      <c r="B7" s="1" t="str">
        <f>"ANMÄLNINGSAVGIFT - GÄDDISREGATTAN"</f>
        <v>ANMÄLNINGSAVGIFT - GÄDDISREGATTAN</v>
      </c>
      <c r="C7" s="4">
        <v>8000</v>
      </c>
    </row>
    <row r="8" spans="1:3" ht="14.25">
      <c r="A8" s="1" t="str">
        <f>"3054"</f>
        <v>3054</v>
      </c>
      <c r="B8" s="1" t="str">
        <f>"Middagsförsäljning- GÄDDISREGATTAN"</f>
        <v>Middagsförsäljning- GÄDDISREGATTAN</v>
      </c>
      <c r="C8" s="4">
        <v>29000</v>
      </c>
    </row>
    <row r="9" spans="1:8" ht="14.25">
      <c r="A9" s="1" t="str">
        <f>"3055"</f>
        <v>3055</v>
      </c>
      <c r="B9" s="1" t="str">
        <f>"Pub Försäljning  - GÄDDISREGATTAN"</f>
        <v>Pub Försäljning  - GÄDDISREGATTAN</v>
      </c>
      <c r="C9" s="4">
        <v>12000</v>
      </c>
      <c r="F9">
        <v>2018</v>
      </c>
      <c r="H9">
        <v>2017</v>
      </c>
    </row>
    <row r="10" spans="1:9" ht="14.25">
      <c r="A10" s="1" t="str">
        <f>"3060"</f>
        <v>3060</v>
      </c>
      <c r="B10" s="1" t="str">
        <f>"LÄGERVERKSAMHETEN"</f>
        <v>LÄGERVERKSAMHETEN</v>
      </c>
      <c r="C10" s="4">
        <v>90000</v>
      </c>
      <c r="F10" s="1" t="str">
        <f>"MEDLEMS-avgift"</f>
        <v>MEDLEMS-avgift</v>
      </c>
      <c r="G10" s="4">
        <v>103200</v>
      </c>
      <c r="H10" s="1" t="str">
        <f>"MEDLEMS-avgift"</f>
        <v>MEDLEMS-avgift</v>
      </c>
      <c r="I10" s="24">
        <v>76740</v>
      </c>
    </row>
    <row r="11" spans="1:9" ht="14.25">
      <c r="A11" s="1" t="str">
        <f>"3061"</f>
        <v>3061</v>
      </c>
      <c r="B11" s="1" t="str">
        <f>"LÄGERVERKSAMHETEN - LOKbidrag"</f>
        <v>LÄGERVERKSAMHETEN - LOKbidrag</v>
      </c>
      <c r="C11" s="4">
        <v>3500</v>
      </c>
      <c r="F11" s="1" t="str">
        <f>"YACHT-avgift"</f>
        <v>YACHT-avgift</v>
      </c>
      <c r="G11" s="4">
        <v>32550</v>
      </c>
      <c r="H11" s="1" t="str">
        <f>"YACHT-avgift"</f>
        <v>YACHT-avgift</v>
      </c>
      <c r="I11" s="24">
        <v>46200</v>
      </c>
    </row>
    <row r="12" spans="1:9" ht="14.25">
      <c r="A12" s="1" t="str">
        <f>"3113"</f>
        <v>3113</v>
      </c>
      <c r="B12" s="1" t="str">
        <f>"ANMÄLNINGSAVGIFT ÅRSFEST"</f>
        <v>ANMÄLNINGSAVGIFT ÅRSFEST</v>
      </c>
      <c r="C12" s="4">
        <v>16700</v>
      </c>
      <c r="F12" s="1" t="str">
        <f>"HAMN-avgift"</f>
        <v>HAMN-avgift</v>
      </c>
      <c r="G12" s="4">
        <v>112972</v>
      </c>
      <c r="H12" s="1" t="str">
        <f>"HAMN-avgift"</f>
        <v>HAMN-avgift</v>
      </c>
      <c r="I12" s="24">
        <v>114459</v>
      </c>
    </row>
    <row r="13" spans="1:9" ht="14.25">
      <c r="A13" s="1" t="str">
        <f>"3540"</f>
        <v>3540</v>
      </c>
      <c r="B13" s="1" t="str">
        <f>"Försäljning - STANDERTS"</f>
        <v>Försäljning - STANDERTS</v>
      </c>
      <c r="C13" s="4">
        <v>1000</v>
      </c>
      <c r="G13" s="7">
        <f>SUM(G10:G12)</f>
        <v>248722</v>
      </c>
      <c r="I13" s="25">
        <f>SUM(I10:I12)</f>
        <v>237399</v>
      </c>
    </row>
    <row r="14" spans="1:3" ht="14.25">
      <c r="A14" s="1" t="str">
        <f>"3590"</f>
        <v>3590</v>
      </c>
      <c r="B14" s="1" t="str">
        <f>"Övriga försäljningsintäkter"</f>
        <v>Övriga försäljningsintäkter</v>
      </c>
      <c r="C14" s="4">
        <v>500</v>
      </c>
    </row>
    <row r="15" spans="1:3" ht="14.25">
      <c r="A15" s="1" t="str">
        <f>"3890"</f>
        <v>3890</v>
      </c>
      <c r="B15" s="1" t="str">
        <f>"MEDLEMS-avgift"</f>
        <v>MEDLEMS-avgift</v>
      </c>
      <c r="C15" s="4">
        <v>103200</v>
      </c>
    </row>
    <row r="16" spans="1:3" ht="14.25">
      <c r="A16" s="1" t="str">
        <f>"3910"</f>
        <v>3910</v>
      </c>
      <c r="B16" s="1" t="str">
        <f>"YACHT-avgift"</f>
        <v>YACHT-avgift</v>
      </c>
      <c r="C16" s="4">
        <v>32550</v>
      </c>
    </row>
    <row r="17" spans="1:3" ht="14.25">
      <c r="A17" s="1" t="str">
        <f>"3911"</f>
        <v>3911</v>
      </c>
      <c r="B17" s="1" t="str">
        <f>"HAMN-avgift"</f>
        <v>HAMN-avgift</v>
      </c>
      <c r="C17" s="4">
        <v>112972</v>
      </c>
    </row>
    <row r="18" spans="1:3" ht="14.25">
      <c r="A18" s="1" t="str">
        <f>"3912"</f>
        <v>3912</v>
      </c>
      <c r="B18" s="1" t="str">
        <f>"IN-REGISTRERINGS-avgift"</f>
        <v>IN-REGISTRERINGS-avgift</v>
      </c>
      <c r="C18" s="4">
        <v>2000</v>
      </c>
    </row>
    <row r="19" spans="1:3" ht="14.25">
      <c r="A19" s="1" t="str">
        <f>"3913"</f>
        <v>3913</v>
      </c>
      <c r="B19" s="1" t="str">
        <f>"SKÅP-hyra"</f>
        <v>SKÅP-hyra</v>
      </c>
      <c r="C19" s="4">
        <v>12075</v>
      </c>
    </row>
    <row r="20" spans="1:3" ht="14.25">
      <c r="A20" s="1" t="str">
        <f>"3914"</f>
        <v>3914</v>
      </c>
      <c r="B20" s="1" t="str">
        <f>"SOMMARPLATS-avgift"</f>
        <v>SOMMARPLATS-avgift</v>
      </c>
      <c r="C20" s="4">
        <v>13000</v>
      </c>
    </row>
    <row r="21" spans="1:3" ht="14.25">
      <c r="A21" s="1" t="str">
        <f>"3918"</f>
        <v>3918</v>
      </c>
      <c r="B21" s="1" t="str">
        <f>"ANMÄLNINGSAVGIFT - Intern Kappsegling"</f>
        <v>ANMÄLNINGSAVGIFT - Intern Kappsegling</v>
      </c>
      <c r="C21" s="4">
        <v>2600</v>
      </c>
    </row>
    <row r="22" spans="1:3" ht="14.25">
      <c r="A22" s="6" t="s">
        <v>2</v>
      </c>
      <c r="B22" s="1"/>
      <c r="C22" s="7">
        <f>SUM(C7:C21)</f>
        <v>439097</v>
      </c>
    </row>
    <row r="23" spans="1:3" ht="14.25">
      <c r="A23" s="1"/>
      <c r="B23" s="1"/>
      <c r="C23" s="4"/>
    </row>
    <row r="24" spans="1:3" ht="14.25">
      <c r="A24" s="6" t="s">
        <v>1</v>
      </c>
      <c r="B24" s="1"/>
      <c r="C24" s="4"/>
    </row>
    <row r="25" spans="1:3" ht="14.25">
      <c r="A25" s="1" t="str">
        <f>"4011"</f>
        <v>4011</v>
      </c>
      <c r="B25" s="1" t="str">
        <f>"HAMN - Frukost"</f>
        <v>HAMN - Frukost</v>
      </c>
      <c r="C25" s="4">
        <v>-2000</v>
      </c>
    </row>
    <row r="26" spans="1:3" ht="14.25">
      <c r="A26" s="1" t="str">
        <f>"4012"</f>
        <v>4012</v>
      </c>
      <c r="B26" s="1" t="str">
        <f>"HAMN - sillsexa"</f>
        <v>HAMN - sillsexa</v>
      </c>
      <c r="C26" s="4">
        <v>-6000</v>
      </c>
    </row>
    <row r="27" spans="1:3" ht="14.25">
      <c r="A27" s="1" t="str">
        <f>"4013"</f>
        <v>4013</v>
      </c>
      <c r="B27" s="1" t="str">
        <f>"HAMN - Bryggor"</f>
        <v>HAMN - Bryggor</v>
      </c>
      <c r="C27" s="4">
        <v>-3000</v>
      </c>
    </row>
    <row r="28" spans="1:3" ht="14.25">
      <c r="A28" s="1" t="str">
        <f>"4015"</f>
        <v>4015</v>
      </c>
      <c r="B28" s="1" t="str">
        <f>"HAMN - Båtar"</f>
        <v>HAMN - Båtar</v>
      </c>
      <c r="C28" s="4">
        <v>-3000</v>
      </c>
    </row>
    <row r="29" spans="1:3" ht="14.25">
      <c r="A29" s="1" t="str">
        <f>"4016"</f>
        <v>4016</v>
      </c>
      <c r="B29" s="1" t="str">
        <f>"HAMN - Klubbhus"</f>
        <v>HAMN - Klubbhus</v>
      </c>
      <c r="C29" s="4">
        <v>-1000</v>
      </c>
    </row>
    <row r="30" spans="1:3" ht="14.25">
      <c r="A30" s="1" t="str">
        <f>"4017"</f>
        <v>4017</v>
      </c>
      <c r="B30" s="1" t="str">
        <f>"HAMN - Inspektioner"</f>
        <v>HAMN - Inspektioner</v>
      </c>
      <c r="C30" s="4">
        <v>-4000</v>
      </c>
    </row>
    <row r="31" spans="1:3" ht="14.25">
      <c r="A31" s="1" t="str">
        <f>"4018"</f>
        <v>4018</v>
      </c>
      <c r="B31" s="1" t="str">
        <f>"HAMN - Förbrukning"</f>
        <v>HAMN - Förbrukning</v>
      </c>
      <c r="C31" s="4">
        <v>-3500</v>
      </c>
    </row>
    <row r="32" spans="1:3" ht="14.25">
      <c r="A32" s="1" t="str">
        <f>"4019"</f>
        <v>4019</v>
      </c>
      <c r="B32" s="1" t="str">
        <f>"HAMN - Oförutsett"</f>
        <v>HAMN - Oförutsett</v>
      </c>
      <c r="C32" s="4">
        <v>-15000</v>
      </c>
    </row>
    <row r="33" spans="1:3" ht="14.25">
      <c r="A33" s="1" t="str">
        <f>"4020"</f>
        <v>4020</v>
      </c>
      <c r="B33" s="1" t="str">
        <f>"DRIFTKOSTNAD - HOLME"</f>
        <v>DRIFTKOSTNAD - HOLME</v>
      </c>
      <c r="C33" s="4">
        <v>-23300</v>
      </c>
    </row>
    <row r="34" spans="1:3" ht="14.25">
      <c r="A34" s="1" t="str">
        <f>"4021"</f>
        <v>4021</v>
      </c>
      <c r="B34" s="1" t="str">
        <f>"PROJEKT-HOLME"</f>
        <v>PROJEKT-HOLME</v>
      </c>
      <c r="C34" s="4">
        <v>-44000</v>
      </c>
    </row>
    <row r="35" spans="1:3" ht="14.25">
      <c r="A35" s="1" t="str">
        <f>"4032"</f>
        <v>4032</v>
      </c>
      <c r="B35" s="1" t="str">
        <f>"Kappsegling - Startbidrag"</f>
        <v>Kappsegling - Startbidrag</v>
      </c>
      <c r="C35" s="4">
        <v>-2000</v>
      </c>
    </row>
    <row r="36" spans="1:3" ht="14.25">
      <c r="A36" s="1" t="str">
        <f>"4033"</f>
        <v>4033</v>
      </c>
      <c r="B36" s="1" t="str">
        <f>"Kappsegling - Priser"</f>
        <v>Kappsegling - Priser</v>
      </c>
      <c r="C36" s="4">
        <v>-2500</v>
      </c>
    </row>
    <row r="37" spans="1:3" ht="14.25">
      <c r="A37" s="1" t="str">
        <f>"4034"</f>
        <v>4034</v>
      </c>
      <c r="B37" s="1" t="str">
        <f>"Kappsegling -Utbildning"</f>
        <v>Kappsegling -Utbildning</v>
      </c>
      <c r="C37" s="4">
        <v>-3000</v>
      </c>
    </row>
    <row r="38" spans="1:3" ht="14.25">
      <c r="A38" s="1" t="str">
        <f>"4035"</f>
        <v>4035</v>
      </c>
      <c r="B38" s="1" t="str">
        <f>"Kappsegling - Boo fyr"</f>
        <v>Kappsegling - Boo fyr</v>
      </c>
      <c r="C38" s="4">
        <v>-1000</v>
      </c>
    </row>
    <row r="39" spans="1:3" ht="14.25">
      <c r="A39" s="1" t="str">
        <f>"4036"</f>
        <v>4036</v>
      </c>
      <c r="B39" s="1" t="str">
        <f>"Kappsegling - Bränsle"</f>
        <v>Kappsegling - Bränsle</v>
      </c>
      <c r="C39" s="4">
        <v>-1100</v>
      </c>
    </row>
    <row r="40" spans="1:3" ht="14.25">
      <c r="A40" s="1" t="str">
        <f>"4037"</f>
        <v>4037</v>
      </c>
      <c r="B40" s="1" t="str">
        <f>"Kappsegling - Funktionärsmöten"</f>
        <v>Kappsegling - Funktionärsmöten</v>
      </c>
      <c r="C40" s="4">
        <v>-1000</v>
      </c>
    </row>
    <row r="41" spans="1:3" ht="14.25">
      <c r="A41" s="1" t="str">
        <f>"4038"</f>
        <v>4038</v>
      </c>
      <c r="B41" s="1" t="str">
        <f>"Kappsegling - Paketseglingen"</f>
        <v>Kappsegling - Paketseglingen</v>
      </c>
      <c r="C41" s="4">
        <v>-1000</v>
      </c>
    </row>
    <row r="42" spans="1:3" ht="14.25">
      <c r="A42" s="1" t="str">
        <f>"4039"</f>
        <v>4039</v>
      </c>
      <c r="B42" s="1" t="str">
        <f>"Kappsegling - Övrigt"</f>
        <v>Kappsegling - Övrigt</v>
      </c>
      <c r="C42" s="4">
        <v>-1000</v>
      </c>
    </row>
    <row r="43" spans="1:3" ht="14.25">
      <c r="A43" s="1" t="str">
        <f>"4040"</f>
        <v>4040</v>
      </c>
      <c r="B43" s="1" t="str">
        <f>"TJEJVERKSAMHET"</f>
        <v>TJEJVERKSAMHET</v>
      </c>
      <c r="C43" s="4">
        <v>-3000</v>
      </c>
    </row>
    <row r="44" spans="1:3" ht="14.25">
      <c r="A44" s="1" t="str">
        <f>"4051"</f>
        <v>4051</v>
      </c>
      <c r="B44" s="1" t="str">
        <f>"HAMN - Investeringar verktyg"</f>
        <v>HAMN - Investeringar verktyg</v>
      </c>
      <c r="C44" s="4">
        <v>-5000</v>
      </c>
    </row>
    <row r="45" spans="1:3" ht="14.25">
      <c r="A45" s="1" t="str">
        <f>"4052"</f>
        <v>4052</v>
      </c>
      <c r="B45" s="1" t="str">
        <f>"HAMN - Investeringar Skåp"</f>
        <v>HAMN - Investeringar Skåp</v>
      </c>
      <c r="C45" s="4">
        <v>-29500</v>
      </c>
    </row>
    <row r="46" spans="1:3" ht="14.25">
      <c r="A46" s="1" t="str">
        <f>"4060"</f>
        <v>4060</v>
      </c>
      <c r="B46" s="1" t="str">
        <f>"GÄDDISREGATTAN - Middag"</f>
        <v>GÄDDISREGATTAN - Middag</v>
      </c>
      <c r="C46" s="4">
        <v>-24000</v>
      </c>
    </row>
    <row r="47" spans="1:3" ht="14.25">
      <c r="A47" s="1" t="str">
        <f>"4061"</f>
        <v>4061</v>
      </c>
      <c r="B47" s="1" t="str">
        <f>"GÄDDISREGATTAN - avgifter"</f>
        <v>GÄDDISREGATTAN - avgifter</v>
      </c>
      <c r="C47" s="4">
        <v>-1100</v>
      </c>
    </row>
    <row r="48" spans="1:3" ht="14.25">
      <c r="A48" s="1" t="str">
        <f>"4062"</f>
        <v>4062</v>
      </c>
      <c r="B48" s="1" t="str">
        <f>"GÄDDISREGATTAN - Systembolaget"</f>
        <v>GÄDDISREGATTAN - Systembolaget</v>
      </c>
      <c r="C48" s="4">
        <v>-9000</v>
      </c>
    </row>
    <row r="49" spans="1:3" ht="14.25">
      <c r="A49" s="1" t="str">
        <f>"4063"</f>
        <v>4063</v>
      </c>
      <c r="B49" s="1" t="str">
        <f>"GÄDDISREGATTAN - priser"</f>
        <v>GÄDDISREGATTAN - priser</v>
      </c>
      <c r="C49" s="4">
        <v>-1100</v>
      </c>
    </row>
    <row r="50" spans="1:3" ht="14.25">
      <c r="A50" s="1" t="str">
        <f>"4064"</f>
        <v>4064</v>
      </c>
      <c r="B50" s="1" t="str">
        <f>"GÄDDISREGATTAN - drivmedel"</f>
        <v>GÄDDISREGATTAN - drivmedel</v>
      </c>
      <c r="C50" s="4">
        <v>-2000</v>
      </c>
    </row>
    <row r="51" spans="1:3" ht="14.25">
      <c r="A51" s="1" t="str">
        <f>"4067"</f>
        <v>4067</v>
      </c>
      <c r="B51" s="1" t="str">
        <f>"GÄDDISREGATTAN - porslin"</f>
        <v>GÄDDISREGATTAN - porslin</v>
      </c>
      <c r="C51" s="4">
        <v>-2000</v>
      </c>
    </row>
    <row r="52" spans="1:3" ht="14.25">
      <c r="A52" s="1" t="str">
        <f>"4068"</f>
        <v>4068</v>
      </c>
      <c r="B52" s="1" t="str">
        <f>"GÄDDISREGATTAN - sophämtning"</f>
        <v>GÄDDISREGATTAN - sophämtning</v>
      </c>
      <c r="C52" s="4">
        <v>-1500</v>
      </c>
    </row>
    <row r="53" spans="1:3" ht="14.25">
      <c r="A53" s="1" t="str">
        <f>"4069"</f>
        <v>4069</v>
      </c>
      <c r="B53" s="1" t="str">
        <f>"GÄDDISREGATTAN - livsmedel etc"</f>
        <v>GÄDDISREGATTAN - livsmedel etc</v>
      </c>
      <c r="C53" s="4">
        <v>-7000</v>
      </c>
    </row>
    <row r="54" spans="1:3" ht="14.25">
      <c r="A54" s="1" t="str">
        <f>"4071"</f>
        <v>4071</v>
      </c>
      <c r="B54" s="1" t="str">
        <f>"Lägret - Mat"</f>
        <v>Lägret - Mat</v>
      </c>
      <c r="C54" s="4">
        <v>-36000</v>
      </c>
    </row>
    <row r="55" spans="1:3" ht="14.25">
      <c r="A55" s="1" t="str">
        <f>"4072"</f>
        <v>4072</v>
      </c>
      <c r="B55" s="1" t="str">
        <f>"Lägret - Bränsle"</f>
        <v>Lägret - Bränsle</v>
      </c>
      <c r="C55" s="4">
        <v>-10000</v>
      </c>
    </row>
    <row r="56" spans="1:3" ht="14.25">
      <c r="A56" s="1" t="str">
        <f>"4073"</f>
        <v>4073</v>
      </c>
      <c r="B56" s="1" t="str">
        <f>"Lägret - Taxibåt"</f>
        <v>Lägret - Taxibåt</v>
      </c>
      <c r="C56" s="4">
        <v>-2000</v>
      </c>
    </row>
    <row r="57" spans="1:3" ht="14.25">
      <c r="A57" s="1" t="str">
        <f>"4074"</f>
        <v>4074</v>
      </c>
      <c r="B57" s="1" t="str">
        <f>"Lägret - Systembolaget"</f>
        <v>Lägret - Systembolaget</v>
      </c>
      <c r="C57" s="4">
        <v>-3000</v>
      </c>
    </row>
    <row r="58" spans="1:3" ht="14.25">
      <c r="A58" s="1" t="str">
        <f>"4075"</f>
        <v>4075</v>
      </c>
      <c r="B58" s="1" t="str">
        <f>"Lägret - Möten, planering, utbildning"</f>
        <v>Lägret - Möten, planering, utbildning</v>
      </c>
      <c r="C58" s="4">
        <v>-3000</v>
      </c>
    </row>
    <row r="59" spans="1:3" ht="14.25">
      <c r="A59" s="1" t="str">
        <f>"4076"</f>
        <v>4076</v>
      </c>
      <c r="B59" s="1" t="str">
        <f>"Lägret - Investering och underhåll båtar"</f>
        <v>Lägret - Investering och underhåll båtar</v>
      </c>
      <c r="C59" s="4">
        <v>-11000</v>
      </c>
    </row>
    <row r="60" spans="1:3" ht="14.25">
      <c r="A60" s="1" t="str">
        <f>"4077"</f>
        <v>4077</v>
      </c>
      <c r="B60" s="1" t="str">
        <f>"Lägret - Nyinvesteringar övrigt"</f>
        <v>Lägret - Nyinvesteringar övrigt</v>
      </c>
      <c r="C60" s="4">
        <v>-13000</v>
      </c>
    </row>
    <row r="61" spans="1:3" ht="14.25">
      <c r="A61" s="1" t="str">
        <f>"4078"</f>
        <v>4078</v>
      </c>
      <c r="B61" s="1" t="str">
        <f>"Lägret - Förbrukning övrigt"</f>
        <v>Lägret - Förbrukning övrigt</v>
      </c>
      <c r="C61" s="4">
        <v>-3500</v>
      </c>
    </row>
    <row r="62" spans="1:3" ht="14.25">
      <c r="A62" s="1" t="str">
        <f>"4079"</f>
        <v>4079</v>
      </c>
      <c r="B62" s="1" t="str">
        <f>"Lägret - profilkläder"</f>
        <v>Lägret - profilkläder</v>
      </c>
      <c r="C62" s="4">
        <v>-2000</v>
      </c>
    </row>
    <row r="63" spans="1:3" ht="14.25">
      <c r="A63" s="1" t="str">
        <f>"4081"</f>
        <v>4081</v>
      </c>
      <c r="B63" s="1" t="str">
        <f>"Klubbmästaren - Årsfest"</f>
        <v>Klubbmästaren - Årsfest</v>
      </c>
      <c r="C63" s="4">
        <v>-30000</v>
      </c>
    </row>
    <row r="64" spans="1:3" ht="14.25">
      <c r="A64" s="1" t="str">
        <f>"4082"</f>
        <v>4082</v>
      </c>
      <c r="B64" s="1" t="str">
        <f>"Klubbmästeri - Funktionärsmiddag"</f>
        <v>Klubbmästeri - Funktionärsmiddag</v>
      </c>
      <c r="C64" s="4">
        <v>-3000</v>
      </c>
    </row>
    <row r="65" spans="1:3" ht="14.25">
      <c r="A65" s="1" t="str">
        <f>"4083"</f>
        <v>4083</v>
      </c>
      <c r="B65" s="1" t="str">
        <f>"Klubbmästari - Pubafton"</f>
        <v>Klubbmästari - Pubafton</v>
      </c>
      <c r="C65" s="4">
        <v>-2000</v>
      </c>
    </row>
    <row r="66" spans="1:3" ht="14.25">
      <c r="A66" s="1" t="str">
        <f>"4084"</f>
        <v>4084</v>
      </c>
      <c r="B66" s="1" t="str">
        <f>"Klubbmästeri - Investeringar"</f>
        <v>Klubbmästeri - Investeringar</v>
      </c>
      <c r="C66" s="4">
        <v>-700</v>
      </c>
    </row>
    <row r="67" spans="1:3" ht="14.25">
      <c r="A67" s="1" t="str">
        <f>"4085"</f>
        <v>4085</v>
      </c>
      <c r="B67" s="1" t="str">
        <f>"Klubbmästeri - Kappsegling"</f>
        <v>Klubbmästeri - Kappsegling</v>
      </c>
      <c r="C67" s="4">
        <v>-3500</v>
      </c>
    </row>
    <row r="68" spans="1:3" ht="14.25">
      <c r="A68" s="1" t="str">
        <f>"5010"</f>
        <v>5010</v>
      </c>
      <c r="B68" s="1" t="str">
        <f>"ARRENDE - HAMN"</f>
        <v>ARRENDE - HAMN</v>
      </c>
      <c r="C68" s="4">
        <v>-11000</v>
      </c>
    </row>
    <row r="69" spans="1:3" ht="14.25">
      <c r="A69" s="1" t="str">
        <f>"5020"</f>
        <v>5020</v>
      </c>
      <c r="B69" s="1" t="str">
        <f>"EL - Hamn"</f>
        <v>EL - Hamn</v>
      </c>
      <c r="C69" s="4">
        <v>-15000</v>
      </c>
    </row>
    <row r="70" spans="1:3" ht="14.25">
      <c r="A70" s="1" t="str">
        <f>"5040"</f>
        <v>5040</v>
      </c>
      <c r="B70" s="1" t="str">
        <f>"VATTEN - HAMN"</f>
        <v>VATTEN - HAMN</v>
      </c>
      <c r="C70" s="4">
        <v>-1000</v>
      </c>
    </row>
    <row r="71" spans="1:3" ht="14.25">
      <c r="A71" s="1" t="str">
        <f>"5060"</f>
        <v>5060</v>
      </c>
      <c r="B71" s="1" t="str">
        <f>"SOPHÄMTNING - HAMN"</f>
        <v>SOPHÄMTNING - HAMN</v>
      </c>
      <c r="C71" s="4">
        <v>-800</v>
      </c>
    </row>
    <row r="72" spans="1:3" ht="14.25">
      <c r="A72" s="1" t="str">
        <f>"5110"</f>
        <v>5110</v>
      </c>
      <c r="B72" s="1" t="str">
        <f>"ARRENDE - HOLME"</f>
        <v>ARRENDE - HOLME</v>
      </c>
      <c r="C72" s="4">
        <v>-17200</v>
      </c>
    </row>
    <row r="73" spans="1:3" ht="14.25">
      <c r="A73" s="1" t="str">
        <f>"6070"</f>
        <v>6070</v>
      </c>
      <c r="B73" s="1" t="str">
        <f>"UPPVAKTNINGAR"</f>
        <v>UPPVAKTNINGAR</v>
      </c>
      <c r="C73" s="4">
        <v>-2500</v>
      </c>
    </row>
    <row r="74" spans="1:3" ht="14.25">
      <c r="A74" s="1" t="str">
        <f>"6150"</f>
        <v>6150</v>
      </c>
      <c r="B74" s="1" t="str">
        <f>"GÄDDVIKET"</f>
        <v>GÄDDVIKET</v>
      </c>
      <c r="C74" s="4">
        <v>-14000</v>
      </c>
    </row>
    <row r="75" spans="1:3" ht="14.25">
      <c r="A75" s="1" t="str">
        <f>"6151"</f>
        <v>6151</v>
      </c>
      <c r="B75" s="1" t="str">
        <f>"PORTO - GÄDDVIKET"</f>
        <v>PORTO - GÄDDVIKET</v>
      </c>
      <c r="C75" s="4">
        <v>-6000</v>
      </c>
    </row>
    <row r="76" spans="1:3" ht="14.25">
      <c r="A76" s="1" t="str">
        <f>"6210"</f>
        <v>6210</v>
      </c>
      <c r="B76" s="1" t="str">
        <f>"TELEFON"</f>
        <v>TELEFON</v>
      </c>
      <c r="C76" s="4">
        <v>-2000</v>
      </c>
    </row>
    <row r="77" spans="1:3" ht="14.25">
      <c r="A77" s="1" t="str">
        <f>"6230"</f>
        <v>6230</v>
      </c>
      <c r="B77" s="1" t="str">
        <f>"HEMSIDAN"</f>
        <v>HEMSIDAN</v>
      </c>
      <c r="C77" s="4">
        <v>-1000</v>
      </c>
    </row>
    <row r="78" spans="1:3" ht="14.25">
      <c r="A78" s="1" t="str">
        <f>"6250"</f>
        <v>6250</v>
      </c>
      <c r="B78" s="1" t="str">
        <f>"PORTO"</f>
        <v>PORTO</v>
      </c>
      <c r="C78" s="4">
        <v>-2000</v>
      </c>
    </row>
    <row r="79" spans="1:3" ht="14.25">
      <c r="A79" s="1" t="str">
        <f>"6310"</f>
        <v>6310</v>
      </c>
      <c r="B79" s="1" t="str">
        <f>"FÖRSÄKRING HAMN"</f>
        <v>FÖRSÄKRING HAMN</v>
      </c>
      <c r="C79" s="4">
        <v>-13200</v>
      </c>
    </row>
    <row r="80" spans="1:3" ht="14.25">
      <c r="A80" s="1" t="str">
        <f>"6311"</f>
        <v>6311</v>
      </c>
      <c r="B80" s="1" t="str">
        <f>"FÖRSÄKRING HOLME"</f>
        <v>FÖRSÄKRING HOLME</v>
      </c>
      <c r="C80" s="4">
        <v>-5700</v>
      </c>
    </row>
    <row r="81" spans="1:3" ht="14.25">
      <c r="A81" s="1" t="str">
        <f>"6460"</f>
        <v>6460</v>
      </c>
      <c r="B81" s="1" t="str">
        <f>"FÖRTÄRING - MÖTEN"</f>
        <v>FÖRTÄRING - MÖTEN</v>
      </c>
      <c r="C81" s="4">
        <v>-1500</v>
      </c>
    </row>
    <row r="82" spans="1:3" ht="14.25">
      <c r="A82" s="1" t="str">
        <f>"6490"</f>
        <v>6490</v>
      </c>
      <c r="B82" s="1" t="str">
        <f>"ÖVRIGA Kostnader"</f>
        <v>ÖVRIGA Kostnader</v>
      </c>
      <c r="C82" s="4">
        <v>-13350</v>
      </c>
    </row>
    <row r="83" spans="1:3" ht="14.25">
      <c r="A83" s="1" t="str">
        <f>"6570"</f>
        <v>6570</v>
      </c>
      <c r="B83" s="1" t="str">
        <f>"BANK/PG-Avgifter"</f>
        <v>BANK/PG-Avgifter</v>
      </c>
      <c r="C83" s="4">
        <v>-4000</v>
      </c>
    </row>
    <row r="84" spans="1:3" ht="14.25">
      <c r="A84" s="1" t="str">
        <f>"6980"</f>
        <v>6980</v>
      </c>
      <c r="B84" s="1" t="str">
        <f>"FÖRENINGS-Avgifter"</f>
        <v>FÖRENINGS-Avgifter</v>
      </c>
      <c r="C84" s="4">
        <v>-20000</v>
      </c>
    </row>
    <row r="85" spans="1:3" ht="14.25">
      <c r="A85" s="1" t="str">
        <f>"7010"</f>
        <v>7010</v>
      </c>
      <c r="B85" s="1" t="str">
        <f>"OMKOSTNADSERSÄTTNINGAR"</f>
        <v>OMKOSTNADSERSÄTTNINGAR</v>
      </c>
      <c r="C85" s="4">
        <v>-12640</v>
      </c>
    </row>
    <row r="86" spans="1:3" ht="14.25">
      <c r="A86" s="6" t="s">
        <v>2</v>
      </c>
      <c r="B86" s="1"/>
      <c r="C86" s="7">
        <f>SUM(C25:C85)</f>
        <v>-468190</v>
      </c>
    </row>
    <row r="87" spans="1:4" ht="14.25">
      <c r="A87" s="3"/>
      <c r="B87" s="3"/>
      <c r="C87" s="3"/>
      <c r="D87" s="3"/>
    </row>
    <row r="88" spans="1:3" ht="14.25">
      <c r="A88" s="1" t="str">
        <f>"Resultat"</f>
        <v>Resultat</v>
      </c>
      <c r="C88" s="4">
        <f>SUM(C22)+(C86)</f>
        <v>-29093</v>
      </c>
    </row>
    <row r="89" ht="14.25">
      <c r="B89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7" sqref="A7:D17"/>
    </sheetView>
  </sheetViews>
  <sheetFormatPr defaultColWidth="9.140625" defaultRowHeight="15"/>
  <cols>
    <col min="1" max="1" width="31.7109375" style="0" customWidth="1"/>
    <col min="2" max="2" width="10.8515625" style="0" bestFit="1" customWidth="1"/>
    <col min="3" max="3" width="12.421875" style="0" customWidth="1"/>
    <col min="4" max="4" width="9.8515625" style="0" customWidth="1"/>
    <col min="11" max="11" width="10.421875" style="0" customWidth="1"/>
  </cols>
  <sheetData>
    <row r="1" ht="14.25">
      <c r="A1" t="s">
        <v>3</v>
      </c>
    </row>
    <row r="2" spans="1:2" ht="14.25">
      <c r="A2" t="s">
        <v>22</v>
      </c>
      <c r="B2">
        <v>68791.37000000001</v>
      </c>
    </row>
    <row r="3" spans="1:10" ht="14.25">
      <c r="A3" t="s">
        <v>28</v>
      </c>
      <c r="B3" s="14">
        <v>34567.899999999994</v>
      </c>
      <c r="J3" t="s">
        <v>13</v>
      </c>
    </row>
    <row r="4" spans="1:10" ht="15" thickBot="1">
      <c r="A4" t="s">
        <v>27</v>
      </c>
      <c r="B4" s="19">
        <v>29914.32</v>
      </c>
      <c r="J4" t="s">
        <v>14</v>
      </c>
    </row>
    <row r="5" spans="1:2" ht="14.25">
      <c r="A5" t="s">
        <v>29</v>
      </c>
      <c r="B5">
        <v>4309.15000000002</v>
      </c>
    </row>
    <row r="6" spans="10:11" ht="15" thickBot="1">
      <c r="J6" t="s">
        <v>15</v>
      </c>
      <c r="K6">
        <v>34914.32</v>
      </c>
    </row>
    <row r="7" spans="1:11" ht="14.25">
      <c r="A7" s="18"/>
      <c r="B7" s="16">
        <v>2017</v>
      </c>
      <c r="C7" s="17" t="s">
        <v>9</v>
      </c>
      <c r="D7" s="22">
        <v>2018</v>
      </c>
      <c r="J7" t="s">
        <v>16</v>
      </c>
      <c r="K7">
        <v>-5000</v>
      </c>
    </row>
    <row r="8" spans="1:11" ht="14.25">
      <c r="A8" s="15" t="s">
        <v>8</v>
      </c>
      <c r="B8" s="13">
        <v>74793.16</v>
      </c>
      <c r="C8" s="14">
        <v>34223.470000000016</v>
      </c>
      <c r="D8" s="13">
        <f>SUM(B8:C8)</f>
        <v>109016.63000000002</v>
      </c>
      <c r="J8" t="s">
        <v>17</v>
      </c>
      <c r="K8">
        <f>SUM(K6:K7)</f>
        <v>29914.32</v>
      </c>
    </row>
    <row r="9" spans="1:13" ht="14.25">
      <c r="A9" s="15" t="s">
        <v>5</v>
      </c>
      <c r="B9" s="9">
        <v>95333.29999999999</v>
      </c>
      <c r="C9" s="14">
        <v>34567.899999999994</v>
      </c>
      <c r="D9" s="9">
        <f>SUM(B9:C9)</f>
        <v>129901.19999999998</v>
      </c>
      <c r="J9" t="s">
        <v>18</v>
      </c>
      <c r="K9">
        <v>50478.94</v>
      </c>
      <c r="L9" s="21" t="s">
        <v>19</v>
      </c>
      <c r="M9">
        <f>SUM(K8:K9)</f>
        <v>80393.26000000001</v>
      </c>
    </row>
    <row r="10" spans="1:13" ht="15" thickBot="1">
      <c r="A10" s="11"/>
      <c r="B10" s="23"/>
      <c r="C10" s="19"/>
      <c r="D10" s="23">
        <f>SUM(D8:D9)</f>
        <v>238917.83000000002</v>
      </c>
      <c r="J10" s="1" t="str">
        <f>"Perioden"</f>
        <v>Perioden</v>
      </c>
      <c r="K10" s="1" t="str">
        <f>"Ackumulerat"</f>
        <v>Ackumulerat</v>
      </c>
      <c r="L10" s="1" t="str">
        <f>"Periodbudget"</f>
        <v>Periodbudget</v>
      </c>
      <c r="M10" s="1" t="str">
        <f>"Period/periodbudg"</f>
        <v>Period/periodbudg</v>
      </c>
    </row>
    <row r="11" ht="15" thickBot="1"/>
    <row r="12" spans="1:10" ht="14.25">
      <c r="A12" s="18"/>
      <c r="B12" s="16">
        <v>2017</v>
      </c>
      <c r="C12" s="17" t="s">
        <v>9</v>
      </c>
      <c r="D12" s="22">
        <v>2018</v>
      </c>
      <c r="F12" s="8"/>
      <c r="J12" s="21" t="s">
        <v>20</v>
      </c>
    </row>
    <row r="13" spans="1:6" ht="14.25">
      <c r="A13" s="15" t="s">
        <v>8</v>
      </c>
      <c r="B13" s="13">
        <v>4000.7</v>
      </c>
      <c r="C13" s="14">
        <v>4309.15000000002</v>
      </c>
      <c r="D13" s="13">
        <f>SUM(B13:C13)</f>
        <v>8309.85000000002</v>
      </c>
      <c r="F13" s="8"/>
    </row>
    <row r="14" spans="1:10" ht="14.25">
      <c r="A14" s="15" t="s">
        <v>4</v>
      </c>
      <c r="B14" s="13">
        <v>8417.48</v>
      </c>
      <c r="C14" s="14"/>
      <c r="D14" s="13"/>
      <c r="F14" s="8"/>
      <c r="J14" t="s">
        <v>21</v>
      </c>
    </row>
    <row r="15" spans="1:11" ht="14.25">
      <c r="A15" s="15" t="s">
        <v>5</v>
      </c>
      <c r="B15" s="9">
        <v>95333.29999999999</v>
      </c>
      <c r="C15" s="14">
        <v>34567.899999999994</v>
      </c>
      <c r="D15" s="9">
        <f>SUM(B15:C15)</f>
        <v>129901.19999999998</v>
      </c>
      <c r="J15" s="21" t="s">
        <v>22</v>
      </c>
      <c r="K15" s="24">
        <v>48294.899999999994</v>
      </c>
    </row>
    <row r="16" spans="1:11" ht="14.25">
      <c r="A16" s="15" t="s">
        <v>6</v>
      </c>
      <c r="B16" s="9">
        <v>11896.04</v>
      </c>
      <c r="C16" s="14"/>
      <c r="D16" s="13"/>
      <c r="J16" s="21" t="s">
        <v>23</v>
      </c>
      <c r="K16">
        <v>-13727</v>
      </c>
    </row>
    <row r="17" spans="1:11" ht="15" thickBot="1">
      <c r="A17" s="11" t="s">
        <v>7</v>
      </c>
      <c r="B17" s="20">
        <v>50478.94</v>
      </c>
      <c r="C17" s="19">
        <v>29914.32</v>
      </c>
      <c r="D17" s="23">
        <v>80393.26000000001</v>
      </c>
      <c r="J17" s="21" t="s">
        <v>24</v>
      </c>
      <c r="K17" s="24">
        <f>SUM(K15:K16)</f>
        <v>34567.899999999994</v>
      </c>
    </row>
    <row r="18" spans="10:13" ht="15" thickBot="1">
      <c r="J18" s="21" t="s">
        <v>25</v>
      </c>
      <c r="K18">
        <v>95333.3</v>
      </c>
      <c r="L18" s="21" t="s">
        <v>26</v>
      </c>
      <c r="M18" s="25">
        <f>SUM(K17:K18)</f>
        <v>129901.2</v>
      </c>
    </row>
    <row r="19" spans="1:4" ht="14.25">
      <c r="A19" s="18"/>
      <c r="B19" s="17">
        <v>2016</v>
      </c>
      <c r="C19" s="17" t="s">
        <v>9</v>
      </c>
      <c r="D19" s="16">
        <v>2017</v>
      </c>
    </row>
    <row r="20" spans="1:4" ht="14.25">
      <c r="A20" s="15" t="s">
        <v>8</v>
      </c>
      <c r="B20" s="14">
        <v>0</v>
      </c>
      <c r="C20" s="14">
        <v>4000.7000000000007</v>
      </c>
      <c r="D20" s="13">
        <v>4000.7</v>
      </c>
    </row>
    <row r="21" spans="1:4" ht="14.25">
      <c r="A21" s="15" t="s">
        <v>4</v>
      </c>
      <c r="B21" s="14">
        <v>369.48</v>
      </c>
      <c r="C21" s="14">
        <v>8048</v>
      </c>
      <c r="D21" s="13">
        <f>SUM(B21:C21)</f>
        <v>8417.48</v>
      </c>
    </row>
    <row r="22" spans="1:4" ht="14.25">
      <c r="A22" s="15" t="s">
        <v>5</v>
      </c>
      <c r="B22" s="12">
        <v>87264.37</v>
      </c>
      <c r="C22" s="14">
        <v>8068.93</v>
      </c>
      <c r="D22" s="9">
        <f>SUM(B22:C22)</f>
        <v>95333.29999999999</v>
      </c>
    </row>
    <row r="23" spans="1:4" ht="14.25">
      <c r="A23" s="15" t="s">
        <v>6</v>
      </c>
      <c r="B23" s="12">
        <v>11896.04</v>
      </c>
      <c r="C23" s="14"/>
      <c r="D23" s="9">
        <v>11896.04</v>
      </c>
    </row>
    <row r="24" spans="1:4" ht="15" thickBot="1">
      <c r="A24" s="11" t="s">
        <v>7</v>
      </c>
      <c r="B24" s="10">
        <v>47846.94</v>
      </c>
      <c r="C24" s="19">
        <v>2632</v>
      </c>
      <c r="D24" s="20">
        <f>SUM(B24:C24)</f>
        <v>50478.94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7">
      <selection activeCell="D27" sqref="D27"/>
    </sheetView>
  </sheetViews>
  <sheetFormatPr defaultColWidth="9.140625" defaultRowHeight="15"/>
  <cols>
    <col min="1" max="1" width="29.8515625" style="0" bestFit="1" customWidth="1"/>
    <col min="2" max="2" width="15.00390625" style="0" bestFit="1" customWidth="1"/>
    <col min="3" max="3" width="26.00390625" style="0" bestFit="1" customWidth="1"/>
    <col min="4" max="4" width="10.421875" style="0" bestFit="1" customWidth="1"/>
  </cols>
  <sheetData>
    <row r="1" spans="1:4" ht="14.25">
      <c r="A1" s="1" t="str">
        <f>"SegelSällskapet Gäddviken, SSG"</f>
        <v>SegelSällskapet Gäddviken, SSG</v>
      </c>
      <c r="C1" s="1" t="str">
        <f>"Sida:"</f>
        <v>Sida:</v>
      </c>
      <c r="D1" s="1" t="str">
        <f>"1"</f>
        <v>1</v>
      </c>
    </row>
    <row r="2" spans="1:4" ht="14.25">
      <c r="A2" s="1" t="str">
        <f>"Resultatbudget"</f>
        <v>Resultatbudget</v>
      </c>
      <c r="C2" s="1" t="str">
        <f>"Utskrivet:"</f>
        <v>Utskrivet:</v>
      </c>
      <c r="D2" s="2">
        <v>42757</v>
      </c>
    </row>
    <row r="3" ht="14.25">
      <c r="D3" s="1" t="str">
        <f>"12:13"</f>
        <v>12:13</v>
      </c>
    </row>
    <row r="4" spans="1:3" ht="14.25">
      <c r="A4" s="1" t="str">
        <f>"Räkenskapsår: 17-01-01 - 17-12-31"</f>
        <v>Räkenskapsår: 17-01-01 - 17-12-31</v>
      </c>
      <c r="C4" s="1" t="str">
        <f>"Senaste vernr:"</f>
        <v>Senaste vernr:</v>
      </c>
    </row>
    <row r="5" spans="1:2" ht="14.25">
      <c r="A5" s="1" t="str">
        <f>"Resultatenhet"</f>
        <v>Resultatenhet</v>
      </c>
      <c r="B5" s="1" t="str">
        <f>"Benämning"</f>
        <v>Benämning</v>
      </c>
    </row>
    <row r="6" spans="2:4" ht="14.25">
      <c r="B6" s="1" t="str">
        <f>"Konto"</f>
        <v>Konto</v>
      </c>
      <c r="C6" s="1" t="str">
        <f>"Benämning"</f>
        <v>Benämning</v>
      </c>
      <c r="D6" s="1" t="str">
        <f>"Budgeterat"</f>
        <v>Budgeterat</v>
      </c>
    </row>
    <row r="7" spans="1:4" ht="14.25">
      <c r="A7" s="3"/>
      <c r="B7" s="3"/>
      <c r="C7" s="3"/>
      <c r="D7" s="3"/>
    </row>
    <row r="8" spans="1:2" ht="14.25">
      <c r="A8" s="1" t="str">
        <f>"Övrigt"</f>
        <v>Övrigt</v>
      </c>
      <c r="B8" s="1" t="str">
        <f>"Klubbgemensamt"</f>
        <v>Klubbgemensamt</v>
      </c>
    </row>
    <row r="9" spans="2:4" ht="14.25">
      <c r="B9" s="1" t="str">
        <f>"3540"</f>
        <v>3540</v>
      </c>
      <c r="C9" s="1" t="str">
        <f>"Försäljning - STANDERTS"</f>
        <v>Försäljning - STANDERTS</v>
      </c>
      <c r="D9" s="4">
        <v>1000</v>
      </c>
    </row>
    <row r="10" spans="2:4" ht="14.25">
      <c r="B10" s="1" t="str">
        <f>"3590"</f>
        <v>3590</v>
      </c>
      <c r="C10" s="1" t="str">
        <f>"Övriga försäljningsintäkter"</f>
        <v>Övriga försäljningsintäkter</v>
      </c>
      <c r="D10" s="4">
        <v>500</v>
      </c>
    </row>
    <row r="11" spans="2:4" ht="14.25">
      <c r="B11" s="1" t="str">
        <f>"3890"</f>
        <v>3890</v>
      </c>
      <c r="C11" s="1" t="str">
        <f>"MEDLEMS-avgift"</f>
        <v>MEDLEMS-avgift</v>
      </c>
      <c r="D11" s="4">
        <v>103200</v>
      </c>
    </row>
    <row r="12" spans="2:4" ht="14.25">
      <c r="B12" s="1" t="str">
        <f>"3912"</f>
        <v>3912</v>
      </c>
      <c r="C12" s="1" t="str">
        <f>"IN-REGISTRERINGS-avgift"</f>
        <v>IN-REGISTRERINGS-avgift</v>
      </c>
      <c r="D12" s="4">
        <v>2000</v>
      </c>
    </row>
    <row r="13" spans="2:4" ht="14.25">
      <c r="B13" s="1" t="str">
        <f>"4040"</f>
        <v>4040</v>
      </c>
      <c r="C13" s="1" t="str">
        <f>"TJEJVERKSAMHET"</f>
        <v>TJEJVERKSAMHET</v>
      </c>
      <c r="D13" s="4">
        <v>-3000</v>
      </c>
    </row>
    <row r="14" spans="2:4" ht="14.25">
      <c r="B14" s="1" t="str">
        <f>"6070"</f>
        <v>6070</v>
      </c>
      <c r="C14" s="1" t="str">
        <f>"UPPVAKTNINGAR"</f>
        <v>UPPVAKTNINGAR</v>
      </c>
      <c r="D14" s="4">
        <v>-2500</v>
      </c>
    </row>
    <row r="15" spans="2:4" ht="14.25">
      <c r="B15" s="1" t="str">
        <f>"6150"</f>
        <v>6150</v>
      </c>
      <c r="C15" s="1" t="str">
        <f>"GÄDDVIKET"</f>
        <v>GÄDDVIKET</v>
      </c>
      <c r="D15" s="4">
        <v>-14000</v>
      </c>
    </row>
    <row r="16" spans="2:4" ht="14.25">
      <c r="B16" s="1" t="str">
        <f>"6151"</f>
        <v>6151</v>
      </c>
      <c r="C16" s="1" t="str">
        <f>"PORTO - GÄDDVIKET"</f>
        <v>PORTO - GÄDDVIKET</v>
      </c>
      <c r="D16" s="4">
        <v>-6000</v>
      </c>
    </row>
    <row r="17" spans="2:4" ht="14.25">
      <c r="B17" s="1" t="str">
        <f>"6210"</f>
        <v>6210</v>
      </c>
      <c r="C17" s="1" t="str">
        <f>"TELEFON"</f>
        <v>TELEFON</v>
      </c>
      <c r="D17" s="4">
        <v>-2000</v>
      </c>
    </row>
    <row r="18" spans="2:4" ht="14.25">
      <c r="B18" s="1" t="str">
        <f>"6230"</f>
        <v>6230</v>
      </c>
      <c r="C18" s="1" t="str">
        <f>"HEMSIDAN"</f>
        <v>HEMSIDAN</v>
      </c>
      <c r="D18" s="4">
        <v>-1000</v>
      </c>
    </row>
    <row r="19" spans="2:4" ht="14.25">
      <c r="B19" s="1" t="str">
        <f>"6250"</f>
        <v>6250</v>
      </c>
      <c r="C19" s="1" t="str">
        <f>"PORTO"</f>
        <v>PORTO</v>
      </c>
      <c r="D19" s="4">
        <v>-2000</v>
      </c>
    </row>
    <row r="20" spans="2:4" ht="14.25">
      <c r="B20" s="1" t="str">
        <f>"6460"</f>
        <v>6460</v>
      </c>
      <c r="C20" s="1" t="str">
        <f>"FÖRTÄRING - MÖTEN"</f>
        <v>FÖRTÄRING - MÖTEN</v>
      </c>
      <c r="D20" s="4">
        <v>-1500</v>
      </c>
    </row>
    <row r="21" spans="2:4" ht="14.25">
      <c r="B21" s="1" t="str">
        <f>"6490"</f>
        <v>6490</v>
      </c>
      <c r="C21" s="1" t="str">
        <f>"ÖVRIGA Kostnader"</f>
        <v>ÖVRIGA Kostnader</v>
      </c>
      <c r="D21" s="4">
        <v>-13350</v>
      </c>
    </row>
    <row r="22" spans="2:4" ht="14.25">
      <c r="B22" s="1" t="str">
        <f>"6570"</f>
        <v>6570</v>
      </c>
      <c r="C22" s="1" t="str">
        <f>"BANK/PG-Avgifter"</f>
        <v>BANK/PG-Avgifter</v>
      </c>
      <c r="D22" s="4">
        <v>-4000</v>
      </c>
    </row>
    <row r="23" spans="2:4" ht="14.25">
      <c r="B23" s="1" t="str">
        <f>"6980"</f>
        <v>6980</v>
      </c>
      <c r="C23" s="1" t="str">
        <f>"FÖRENINGS-Avgifter"</f>
        <v>FÖRENINGS-Avgifter</v>
      </c>
      <c r="D23" s="4">
        <v>-20000</v>
      </c>
    </row>
    <row r="24" spans="2:4" ht="14.25">
      <c r="B24" s="1" t="str">
        <f>"7010"</f>
        <v>7010</v>
      </c>
      <c r="C24" s="1" t="str">
        <f>"OMKOSTNADSERSÄTTNINGAR"</f>
        <v>OMKOSTNADSERSÄTTNINGAR</v>
      </c>
      <c r="D24" s="4">
        <v>-12640</v>
      </c>
    </row>
    <row r="25" spans="1:4" ht="14.25">
      <c r="A25" s="3"/>
      <c r="B25" s="3"/>
      <c r="C25" s="3"/>
      <c r="D25" s="3"/>
    </row>
    <row r="26" spans="1:4" ht="14.25">
      <c r="A26" s="1" t="str">
        <f>"Resultat"</f>
        <v>Resultat</v>
      </c>
      <c r="D26" s="4">
        <f>SUM(D9:D25)</f>
        <v>24710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9.8515625" style="0" bestFit="1" customWidth="1"/>
    <col min="2" max="2" width="13.421875" style="0" bestFit="1" customWidth="1"/>
    <col min="3" max="3" width="28.8515625" style="0" bestFit="1" customWidth="1"/>
    <col min="4" max="4" width="10.421875" style="0" bestFit="1" customWidth="1"/>
  </cols>
  <sheetData>
    <row r="1" spans="1:4" ht="14.25">
      <c r="A1" s="1" t="str">
        <f>"SegelSällskapet Gäddviken, SSG"</f>
        <v>SegelSällskapet Gäddviken, SSG</v>
      </c>
      <c r="C1" s="1" t="str">
        <f>"Sida:"</f>
        <v>Sida:</v>
      </c>
      <c r="D1" s="1" t="str">
        <f>"1"</f>
        <v>1</v>
      </c>
    </row>
    <row r="2" spans="1:4" ht="14.25">
      <c r="A2" s="1" t="str">
        <f>"Resultatbudget"</f>
        <v>Resultatbudget</v>
      </c>
      <c r="C2" s="1" t="str">
        <f>"Utskrivet:"</f>
        <v>Utskrivet:</v>
      </c>
      <c r="D2" s="2">
        <v>42757</v>
      </c>
    </row>
    <row r="3" ht="14.25">
      <c r="D3" s="1" t="str">
        <f>"12:12"</f>
        <v>12:12</v>
      </c>
    </row>
    <row r="4" spans="1:3" ht="14.25">
      <c r="A4" s="1" t="str">
        <f>"Räkenskapsår: 17-01-01 - 17-12-31"</f>
        <v>Räkenskapsår: 17-01-01 - 17-12-31</v>
      </c>
      <c r="C4" s="1" t="str">
        <f>"Senaste vernr:"</f>
        <v>Senaste vernr:</v>
      </c>
    </row>
    <row r="5" spans="1:2" ht="14.25">
      <c r="A5" s="1" t="str">
        <f>"Resultatenhet"</f>
        <v>Resultatenhet</v>
      </c>
      <c r="B5" s="1" t="str">
        <f>"Benämning"</f>
        <v>Benämning</v>
      </c>
    </row>
    <row r="6" spans="2:4" ht="14.25">
      <c r="B6" s="1" t="str">
        <f>"Konto"</f>
        <v>Konto</v>
      </c>
      <c r="C6" s="1" t="str">
        <f>"Benämning"</f>
        <v>Benämning</v>
      </c>
      <c r="D6" s="1" t="str">
        <f>"Budgeterat"</f>
        <v>Budgeterat</v>
      </c>
    </row>
    <row r="7" spans="1:4" ht="14.25">
      <c r="A7" s="3"/>
      <c r="B7" s="3"/>
      <c r="C7" s="3"/>
      <c r="D7" s="3"/>
    </row>
    <row r="8" spans="1:2" ht="14.25">
      <c r="A8" s="1" t="str">
        <f>"Klubbm"</f>
        <v>Klubbm</v>
      </c>
      <c r="B8" s="1" t="str">
        <f>"Klubbmästeriet"</f>
        <v>Klubbmästeriet</v>
      </c>
    </row>
    <row r="9" spans="2:4" ht="14.25">
      <c r="B9" s="1" t="str">
        <f>"3113"</f>
        <v>3113</v>
      </c>
      <c r="C9" s="1" t="str">
        <f>"ANMÄLNINGSAVGIFT ÅRSFEST"</f>
        <v>ANMÄLNINGSAVGIFT ÅRSFEST</v>
      </c>
      <c r="D9" s="4">
        <v>16700</v>
      </c>
    </row>
    <row r="10" spans="2:4" ht="14.25">
      <c r="B10" s="1" t="str">
        <f>"4081"</f>
        <v>4081</v>
      </c>
      <c r="C10" s="1" t="str">
        <f>"Klubbmästaren - Årsfest"</f>
        <v>Klubbmästaren - Årsfest</v>
      </c>
      <c r="D10" s="4">
        <v>-30000</v>
      </c>
    </row>
    <row r="11" spans="2:4" ht="14.25">
      <c r="B11" s="1" t="str">
        <f>"4082"</f>
        <v>4082</v>
      </c>
      <c r="C11" s="1" t="str">
        <f>"Klubbmästeri - Funktionärsmiddag"</f>
        <v>Klubbmästeri - Funktionärsmiddag</v>
      </c>
      <c r="D11" s="4">
        <v>-3000</v>
      </c>
    </row>
    <row r="12" spans="2:4" ht="14.25">
      <c r="B12" s="1" t="str">
        <f>"4083"</f>
        <v>4083</v>
      </c>
      <c r="C12" s="1" t="str">
        <f>"Klubbmästari - Pubafton"</f>
        <v>Klubbmästari - Pubafton</v>
      </c>
      <c r="D12" s="4">
        <v>-2000</v>
      </c>
    </row>
    <row r="13" spans="2:4" ht="14.25">
      <c r="B13" s="1" t="str">
        <f>"4084"</f>
        <v>4084</v>
      </c>
      <c r="C13" s="1" t="str">
        <f>"Klubbmästeri - Investeringar"</f>
        <v>Klubbmästeri - Investeringar</v>
      </c>
      <c r="D13" s="4">
        <v>-700</v>
      </c>
    </row>
    <row r="14" spans="2:4" ht="14.25">
      <c r="B14" s="1" t="str">
        <f>"4085"</f>
        <v>4085</v>
      </c>
      <c r="C14" s="1" t="str">
        <f>"Klubbmästeri - Kappsegling"</f>
        <v>Klubbmästeri - Kappsegling</v>
      </c>
      <c r="D14" s="4">
        <v>-3500</v>
      </c>
    </row>
    <row r="15" spans="1:4" ht="14.25">
      <c r="A15" s="3"/>
      <c r="B15" s="3"/>
      <c r="C15" s="3"/>
      <c r="D15" s="3"/>
    </row>
    <row r="16" spans="1:4" ht="14.25">
      <c r="A16" s="1" t="str">
        <f>"Resultat"</f>
        <v>Resultat</v>
      </c>
      <c r="D16" s="4">
        <v>-17000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9.8515625" style="0" bestFit="1" customWidth="1"/>
    <col min="2" max="2" width="10.421875" style="0" bestFit="1" customWidth="1"/>
    <col min="3" max="3" width="35.421875" style="0" bestFit="1" customWidth="1"/>
    <col min="4" max="4" width="10.421875" style="0" bestFit="1" customWidth="1"/>
  </cols>
  <sheetData>
    <row r="1" spans="1:4" ht="14.25">
      <c r="A1" s="1" t="str">
        <f>"SegelSällskapet Gäddviken, SSG"</f>
        <v>SegelSällskapet Gäddviken, SSG</v>
      </c>
      <c r="C1" s="1" t="str">
        <f>"Sida:"</f>
        <v>Sida:</v>
      </c>
      <c r="D1" s="1" t="str">
        <f>"1"</f>
        <v>1</v>
      </c>
    </row>
    <row r="2" spans="1:4" ht="14.25">
      <c r="A2" s="1" t="str">
        <f>"Resultatbudget"</f>
        <v>Resultatbudget</v>
      </c>
      <c r="C2" s="1" t="str">
        <f>"Utskrivet:"</f>
        <v>Utskrivet:</v>
      </c>
      <c r="D2" s="2">
        <v>42757</v>
      </c>
    </row>
    <row r="3" ht="14.25">
      <c r="D3" s="1" t="str">
        <f>"12:12"</f>
        <v>12:12</v>
      </c>
    </row>
    <row r="4" spans="1:3" ht="14.25">
      <c r="A4" s="1" t="str">
        <f>"Räkenskapsår: 17-01-01 - 17-12-31"</f>
        <v>Räkenskapsår: 17-01-01 - 17-12-31</v>
      </c>
      <c r="C4" s="1" t="str">
        <f>"Senaste vernr:"</f>
        <v>Senaste vernr:</v>
      </c>
    </row>
    <row r="5" spans="1:2" ht="14.25">
      <c r="A5" s="1" t="str">
        <f>"Resultatenhet"</f>
        <v>Resultatenhet</v>
      </c>
      <c r="B5" s="1" t="str">
        <f>"Benämning"</f>
        <v>Benämning</v>
      </c>
    </row>
    <row r="6" spans="2:4" ht="14.25">
      <c r="B6" s="1" t="str">
        <f>"Konto"</f>
        <v>Konto</v>
      </c>
      <c r="C6" s="1" t="str">
        <f>"Benämning"</f>
        <v>Benämning</v>
      </c>
      <c r="D6" s="1" t="str">
        <f>"Budgeterat"</f>
        <v>Budgeterat</v>
      </c>
    </row>
    <row r="7" spans="1:4" ht="14.25">
      <c r="A7" s="3"/>
      <c r="B7" s="3"/>
      <c r="C7" s="3"/>
      <c r="D7" s="3"/>
    </row>
    <row r="8" spans="1:2" ht="14.25">
      <c r="A8" s="1" t="str">
        <f>"Kapp"</f>
        <v>Kapp</v>
      </c>
      <c r="B8" s="1" t="str">
        <f>"Kappsegling"</f>
        <v>Kappsegling</v>
      </c>
    </row>
    <row r="9" spans="2:4" ht="14.25">
      <c r="B9" s="1" t="str">
        <f>"3918"</f>
        <v>3918</v>
      </c>
      <c r="C9" s="1" t="str">
        <f>"ANMÄLNINGSAVGIFT - Intern Kappsegling"</f>
        <v>ANMÄLNINGSAVGIFT - Intern Kappsegling</v>
      </c>
      <c r="D9" s="4">
        <v>2600</v>
      </c>
    </row>
    <row r="10" spans="2:4" ht="14.25">
      <c r="B10" s="1" t="str">
        <f>"4032"</f>
        <v>4032</v>
      </c>
      <c r="C10" s="1" t="str">
        <f>"Kappsegling - Startbidrag"</f>
        <v>Kappsegling - Startbidrag</v>
      </c>
      <c r="D10" s="4">
        <v>-2000</v>
      </c>
    </row>
    <row r="11" spans="2:4" ht="14.25">
      <c r="B11" s="1" t="str">
        <f>"4033"</f>
        <v>4033</v>
      </c>
      <c r="C11" s="1" t="str">
        <f>"Kappsegling - Priser"</f>
        <v>Kappsegling - Priser</v>
      </c>
      <c r="D11" s="4">
        <v>-2500</v>
      </c>
    </row>
    <row r="12" spans="2:4" ht="14.25">
      <c r="B12" s="1" t="str">
        <f>"4034"</f>
        <v>4034</v>
      </c>
      <c r="C12" s="1" t="str">
        <f>"Kappsegling -Utbildning"</f>
        <v>Kappsegling -Utbildning</v>
      </c>
      <c r="D12" s="4">
        <v>-3000</v>
      </c>
    </row>
    <row r="13" spans="2:4" ht="14.25">
      <c r="B13" s="1" t="str">
        <f>"4035"</f>
        <v>4035</v>
      </c>
      <c r="C13" s="1" t="str">
        <f>"Kappsegling - Boo fyr"</f>
        <v>Kappsegling - Boo fyr</v>
      </c>
      <c r="D13" s="4">
        <v>-1000</v>
      </c>
    </row>
    <row r="14" spans="2:4" ht="14.25">
      <c r="B14" s="1" t="str">
        <f>"4036"</f>
        <v>4036</v>
      </c>
      <c r="C14" s="1" t="str">
        <f>"Kappsegling - Bränsle"</f>
        <v>Kappsegling - Bränsle</v>
      </c>
      <c r="D14" s="4">
        <v>-1100</v>
      </c>
    </row>
    <row r="15" spans="2:4" ht="14.25">
      <c r="B15" s="1" t="str">
        <f>"4037"</f>
        <v>4037</v>
      </c>
      <c r="C15" s="1" t="str">
        <f>"Kappsegling - Funktionärsmöten"</f>
        <v>Kappsegling - Funktionärsmöten</v>
      </c>
      <c r="D15" s="4">
        <v>-1000</v>
      </c>
    </row>
    <row r="16" spans="2:4" ht="14.25">
      <c r="B16" s="1" t="str">
        <f>"4038"</f>
        <v>4038</v>
      </c>
      <c r="C16" s="1" t="str">
        <f>"Kappsegling - Paketseglingen"</f>
        <v>Kappsegling - Paketseglingen</v>
      </c>
      <c r="D16" s="4">
        <v>-1000</v>
      </c>
    </row>
    <row r="17" spans="2:4" ht="14.25">
      <c r="B17" s="1" t="str">
        <f>"4039"</f>
        <v>4039</v>
      </c>
      <c r="C17" s="1" t="str">
        <f>"Kappsegling - Övrigt"</f>
        <v>Kappsegling - Övrigt</v>
      </c>
      <c r="D17" s="4">
        <v>-1000</v>
      </c>
    </row>
    <row r="18" spans="1:4" ht="14.25">
      <c r="A18" s="3"/>
      <c r="B18" s="3"/>
      <c r="C18" s="3"/>
      <c r="D18" s="3"/>
    </row>
    <row r="19" spans="1:4" ht="14.25">
      <c r="A19" s="1" t="str">
        <f>"Resultat"</f>
        <v>Resultat</v>
      </c>
      <c r="D19" s="4">
        <v>-10000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5">
      <selection activeCell="D24" sqref="D24"/>
    </sheetView>
  </sheetViews>
  <sheetFormatPr defaultColWidth="9.140625" defaultRowHeight="15"/>
  <cols>
    <col min="1" max="1" width="29.8515625" style="0" bestFit="1" customWidth="1"/>
    <col min="2" max="2" width="17.00390625" style="0" bestFit="1" customWidth="1"/>
    <col min="3" max="3" width="33.421875" style="0" bestFit="1" customWidth="1"/>
    <col min="4" max="4" width="10.421875" style="0" bestFit="1" customWidth="1"/>
  </cols>
  <sheetData>
    <row r="1" spans="1:4" ht="14.25">
      <c r="A1" s="1" t="str">
        <f>"SegelSällskapet Gäddviken, SSG"</f>
        <v>SegelSällskapet Gäddviken, SSG</v>
      </c>
      <c r="C1" s="1" t="str">
        <f>"Sida:"</f>
        <v>Sida:</v>
      </c>
      <c r="D1" s="1" t="str">
        <f>"1"</f>
        <v>1</v>
      </c>
    </row>
    <row r="2" spans="1:4" ht="14.25">
      <c r="A2" s="1" t="str">
        <f>"Resultatbudget"</f>
        <v>Resultatbudget</v>
      </c>
      <c r="C2" s="1" t="str">
        <f>"Utskrivet:"</f>
        <v>Utskrivet:</v>
      </c>
      <c r="D2" s="2">
        <v>42757</v>
      </c>
    </row>
    <row r="3" ht="14.25">
      <c r="D3" s="1" t="str">
        <f>"12:12"</f>
        <v>12:12</v>
      </c>
    </row>
    <row r="4" spans="1:3" ht="14.25">
      <c r="A4" s="1" t="str">
        <f>"Räkenskapsår: 17-01-01 - 17-12-31"</f>
        <v>Räkenskapsår: 17-01-01 - 17-12-31</v>
      </c>
      <c r="C4" s="1" t="str">
        <f>"Senaste vernr:"</f>
        <v>Senaste vernr:</v>
      </c>
    </row>
    <row r="5" spans="1:2" ht="14.25">
      <c r="A5" s="1" t="str">
        <f>"Resultatenhet"</f>
        <v>Resultatenhet</v>
      </c>
      <c r="B5" s="1" t="str">
        <f>"Benämning"</f>
        <v>Benämning</v>
      </c>
    </row>
    <row r="6" spans="2:4" ht="14.25">
      <c r="B6" s="1" t="str">
        <f>"Konto"</f>
        <v>Konto</v>
      </c>
      <c r="C6" s="1" t="str">
        <f>"Benämning"</f>
        <v>Benämning</v>
      </c>
      <c r="D6" s="1" t="str">
        <f>"Budgeterat"</f>
        <v>Budgeterat</v>
      </c>
    </row>
    <row r="7" spans="1:4" ht="14.25">
      <c r="A7" s="3"/>
      <c r="B7" s="3"/>
      <c r="C7" s="3"/>
      <c r="D7" s="3"/>
    </row>
    <row r="8" spans="1:2" ht="14.25">
      <c r="A8" s="1" t="str">
        <f>"Junior"</f>
        <v>Junior</v>
      </c>
      <c r="B8" s="1" t="str">
        <f>"Lägerverksamheten"</f>
        <v>Lägerverksamheten</v>
      </c>
    </row>
    <row r="9" spans="2:4" ht="14.25">
      <c r="B9" s="1" t="str">
        <f>"3060"</f>
        <v>3060</v>
      </c>
      <c r="C9" s="1" t="str">
        <f>"LÄGERVERKSAMHETEN"</f>
        <v>LÄGERVERKSAMHETEN</v>
      </c>
      <c r="D9" s="4">
        <v>90000</v>
      </c>
    </row>
    <row r="10" spans="2:4" ht="14.25">
      <c r="B10" s="1" t="str">
        <f>"3061"</f>
        <v>3061</v>
      </c>
      <c r="C10" s="1" t="str">
        <f>"LÄGERVERKSAMHETEN - LOKbidrag"</f>
        <v>LÄGERVERKSAMHETEN - LOKbidrag</v>
      </c>
      <c r="D10" s="4">
        <v>3500</v>
      </c>
    </row>
    <row r="11" spans="2:4" ht="14.25">
      <c r="B11" s="1" t="str">
        <f>"4071"</f>
        <v>4071</v>
      </c>
      <c r="C11" s="1" t="str">
        <f>"Lägret - Mat"</f>
        <v>Lägret - Mat</v>
      </c>
      <c r="D11" s="4">
        <v>-36000</v>
      </c>
    </row>
    <row r="12" spans="2:4" ht="14.25">
      <c r="B12" s="1" t="str">
        <f>"4072"</f>
        <v>4072</v>
      </c>
      <c r="C12" s="1" t="str">
        <f>"Lägret - Bränsle"</f>
        <v>Lägret - Bränsle</v>
      </c>
      <c r="D12" s="4">
        <v>-10000</v>
      </c>
    </row>
    <row r="13" spans="2:4" ht="14.25">
      <c r="B13" s="1" t="str">
        <f>"4073"</f>
        <v>4073</v>
      </c>
      <c r="C13" s="1" t="str">
        <f>"Lägret - Taxibåt"</f>
        <v>Lägret - Taxibåt</v>
      </c>
      <c r="D13" s="4">
        <v>-2000</v>
      </c>
    </row>
    <row r="14" spans="2:4" ht="14.25">
      <c r="B14" s="1" t="str">
        <f>"4074"</f>
        <v>4074</v>
      </c>
      <c r="C14" s="1" t="str">
        <f>"Lägret - Systembolaget"</f>
        <v>Lägret - Systembolaget</v>
      </c>
      <c r="D14" s="4">
        <v>-3000</v>
      </c>
    </row>
    <row r="15" spans="2:4" ht="14.25">
      <c r="B15" s="1" t="str">
        <f>"4075"</f>
        <v>4075</v>
      </c>
      <c r="C15" s="1" t="str">
        <f>"Lägret - Möten, planering, utbildning"</f>
        <v>Lägret - Möten, planering, utbildning</v>
      </c>
      <c r="D15" s="4">
        <v>-3000</v>
      </c>
    </row>
    <row r="16" spans="2:4" ht="14.25">
      <c r="B16" s="1" t="str">
        <f>"4076"</f>
        <v>4076</v>
      </c>
      <c r="C16" s="1" t="str">
        <f>"Lägret - Investering och underhåll båtar"</f>
        <v>Lägret - Investering och underhåll båtar</v>
      </c>
      <c r="D16" s="4">
        <v>-11000</v>
      </c>
    </row>
    <row r="17" spans="2:4" ht="14.25">
      <c r="B17" s="1" t="str">
        <f>"4077"</f>
        <v>4077</v>
      </c>
      <c r="C17" s="1" t="str">
        <f>"Lägret - Nyinvesteringar övrigt"</f>
        <v>Lägret - Nyinvesteringar övrigt</v>
      </c>
      <c r="D17" s="4">
        <v>-13000</v>
      </c>
    </row>
    <row r="18" spans="2:4" ht="14.25">
      <c r="B18" s="1" t="str">
        <f>"4078"</f>
        <v>4078</v>
      </c>
      <c r="C18" s="1" t="str">
        <f>"Lägret - Förbrukning övrigt"</f>
        <v>Lägret - Förbrukning övrigt</v>
      </c>
      <c r="D18" s="4">
        <v>-3500</v>
      </c>
    </row>
    <row r="19" spans="2:4" ht="14.25">
      <c r="B19" s="1" t="str">
        <f>"4079"</f>
        <v>4079</v>
      </c>
      <c r="C19" s="1" t="str">
        <f>"Lägret - profilkläder"</f>
        <v>Lägret - profilkläder</v>
      </c>
      <c r="D19" s="4">
        <v>-2000</v>
      </c>
    </row>
    <row r="20" spans="1:4" ht="14.25">
      <c r="A20" s="3"/>
      <c r="B20" s="3"/>
      <c r="C20" s="3"/>
      <c r="D20" s="3"/>
    </row>
    <row r="21" spans="1:4" ht="14.25">
      <c r="A21" s="1" t="str">
        <f>"Resultat"</f>
        <v>Resultat</v>
      </c>
      <c r="D21" s="4">
        <v>10000</v>
      </c>
    </row>
    <row r="22" spans="3:4" ht="14.25">
      <c r="C22" t="s">
        <v>11</v>
      </c>
      <c r="D22" s="4">
        <v>-5000</v>
      </c>
    </row>
    <row r="23" spans="3:4" ht="14.25">
      <c r="C23" t="s">
        <v>12</v>
      </c>
      <c r="D23" s="4"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0" sqref="B10:D15"/>
    </sheetView>
  </sheetViews>
  <sheetFormatPr defaultColWidth="9.140625" defaultRowHeight="15"/>
  <cols>
    <col min="1" max="1" width="29.8515625" style="0" bestFit="1" customWidth="1"/>
    <col min="2" max="2" width="10.00390625" style="0" bestFit="1" customWidth="1"/>
    <col min="3" max="3" width="21.57421875" style="0" bestFit="1" customWidth="1"/>
    <col min="4" max="4" width="10.421875" style="0" bestFit="1" customWidth="1"/>
  </cols>
  <sheetData>
    <row r="1" spans="1:4" ht="14.25">
      <c r="A1" s="1" t="str">
        <f>"SegelSällskapet Gäddviken, SSG"</f>
        <v>SegelSällskapet Gäddviken, SSG</v>
      </c>
      <c r="C1" s="1" t="str">
        <f>"Sida:"</f>
        <v>Sida:</v>
      </c>
      <c r="D1" s="1" t="str">
        <f>"1"</f>
        <v>1</v>
      </c>
    </row>
    <row r="2" spans="1:4" ht="14.25">
      <c r="A2" s="1" t="str">
        <f>"Resultatbudget"</f>
        <v>Resultatbudget</v>
      </c>
      <c r="C2" s="1" t="str">
        <f>"Utskrivet:"</f>
        <v>Utskrivet:</v>
      </c>
      <c r="D2" s="2">
        <v>42757</v>
      </c>
    </row>
    <row r="3" ht="14.25">
      <c r="D3" s="1" t="str">
        <f>"12:12"</f>
        <v>12:12</v>
      </c>
    </row>
    <row r="4" spans="1:3" ht="14.25">
      <c r="A4" s="1" t="str">
        <f>"Räkenskapsår: 17-01-01 - 17-12-31"</f>
        <v>Räkenskapsår: 17-01-01 - 17-12-31</v>
      </c>
      <c r="C4" s="1" t="str">
        <f>"Senaste vernr:"</f>
        <v>Senaste vernr:</v>
      </c>
    </row>
    <row r="5" spans="1:2" ht="14.25">
      <c r="A5" s="1" t="str">
        <f>"Resultatenhet"</f>
        <v>Resultatenhet</v>
      </c>
      <c r="B5" s="1" t="str">
        <f>"Benämning"</f>
        <v>Benämning</v>
      </c>
    </row>
    <row r="6" spans="2:4" ht="14.25">
      <c r="B6" s="1" t="str">
        <f>"Konto"</f>
        <v>Konto</v>
      </c>
      <c r="C6" s="1" t="str">
        <f>"Benämning"</f>
        <v>Benämning</v>
      </c>
      <c r="D6" s="1" t="str">
        <f>"Budgeterat"</f>
        <v>Budgeterat</v>
      </c>
    </row>
    <row r="7" spans="1:4" ht="14.25">
      <c r="A7" s="3"/>
      <c r="B7" s="3"/>
      <c r="C7" s="3"/>
      <c r="D7" s="3"/>
    </row>
    <row r="8" spans="1:2" ht="14.25">
      <c r="A8" s="1" t="str">
        <f>"Holmen"</f>
        <v>Holmen</v>
      </c>
      <c r="B8" s="1" t="str">
        <f>"Holmen"</f>
        <v>Holmen</v>
      </c>
    </row>
    <row r="9" spans="2:4" ht="14.25">
      <c r="B9" s="1" t="str">
        <f>"3910"</f>
        <v>3910</v>
      </c>
      <c r="C9" s="1" t="str">
        <f>"YACHT-avgift"</f>
        <v>YACHT-avgift</v>
      </c>
      <c r="D9" s="4">
        <v>32550</v>
      </c>
    </row>
    <row r="10" spans="2:4" ht="14.25">
      <c r="B10" s="1" t="str">
        <f>"4020"</f>
        <v>4020</v>
      </c>
      <c r="C10" s="1" t="str">
        <f>"DRIFTKOSTNAD - HOLME"</f>
        <v>DRIFTKOSTNAD - HOLME</v>
      </c>
      <c r="D10" s="4">
        <v>-13300</v>
      </c>
    </row>
    <row r="11" spans="2:4" ht="14.25">
      <c r="B11" s="1" t="str">
        <f>"4021"</f>
        <v>4021</v>
      </c>
      <c r="C11" s="1" t="str">
        <f>"PROJEKT-HOLME"</f>
        <v>PROJEKT-HOLME</v>
      </c>
      <c r="D11" s="4">
        <v>-44000</v>
      </c>
    </row>
    <row r="12" spans="2:4" ht="14.25">
      <c r="B12" s="1" t="str">
        <f>"5110"</f>
        <v>5110</v>
      </c>
      <c r="C12" s="1" t="str">
        <f>"ARRENDE - HOLME"</f>
        <v>ARRENDE - HOLME</v>
      </c>
      <c r="D12" s="4">
        <v>-17200</v>
      </c>
    </row>
    <row r="13" spans="2:4" ht="14.25">
      <c r="B13" s="1" t="str">
        <f>"6311"</f>
        <v>6311</v>
      </c>
      <c r="C13" s="1" t="str">
        <f>"FÖRSÄKRING HOLME"</f>
        <v>FÖRSÄKRING HOLME</v>
      </c>
      <c r="D13" s="4">
        <v>-5700</v>
      </c>
    </row>
    <row r="14" spans="1:4" ht="14.25">
      <c r="A14" s="3"/>
      <c r="B14" s="3"/>
      <c r="C14" s="3"/>
      <c r="D14" s="3"/>
    </row>
    <row r="15" spans="1:4" ht="14.25">
      <c r="A15" s="1" t="str">
        <f>"Resultat"</f>
        <v>Resultat</v>
      </c>
      <c r="D15" s="4">
        <f>SUM(D9:D14)</f>
        <v>-47650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7">
      <selection activeCell="A8" sqref="A8"/>
    </sheetView>
  </sheetViews>
  <sheetFormatPr defaultColWidth="9.140625" defaultRowHeight="15"/>
  <cols>
    <col min="1" max="1" width="29.8515625" style="0" bestFit="1" customWidth="1"/>
    <col min="2" max="2" width="10.00390625" style="0" bestFit="1" customWidth="1"/>
    <col min="3" max="3" width="25.140625" style="0" bestFit="1" customWidth="1"/>
    <col min="4" max="4" width="10.421875" style="0" bestFit="1" customWidth="1"/>
  </cols>
  <sheetData>
    <row r="1" spans="1:4" ht="14.25">
      <c r="A1" s="1" t="str">
        <f>"SegelSällskapet Gäddviken, SSG"</f>
        <v>SegelSällskapet Gäddviken, SSG</v>
      </c>
      <c r="C1" s="1" t="str">
        <f>"Sida:"</f>
        <v>Sida:</v>
      </c>
      <c r="D1" s="1" t="str">
        <f>"1"</f>
        <v>1</v>
      </c>
    </row>
    <row r="2" spans="1:4" ht="14.25">
      <c r="A2" s="1" t="str">
        <f>"Resultatbudget"</f>
        <v>Resultatbudget</v>
      </c>
      <c r="C2" s="1" t="str">
        <f>"Utskrivet:"</f>
        <v>Utskrivet:</v>
      </c>
      <c r="D2" s="2">
        <v>42757</v>
      </c>
    </row>
    <row r="3" ht="14.25">
      <c r="D3" s="1" t="str">
        <f>"12:11"</f>
        <v>12:11</v>
      </c>
    </row>
    <row r="4" spans="1:3" ht="14.25">
      <c r="A4" s="1" t="str">
        <f>"Räkenskapsår: 17-01-01 - 17-12-31"</f>
        <v>Räkenskapsår: 17-01-01 - 17-12-31</v>
      </c>
      <c r="C4" s="1" t="str">
        <f>"Senaste vernr:"</f>
        <v>Senaste vernr:</v>
      </c>
    </row>
    <row r="5" spans="1:2" ht="14.25">
      <c r="A5" s="1" t="str">
        <f>"Resultatenhet"</f>
        <v>Resultatenhet</v>
      </c>
      <c r="B5" s="1" t="str">
        <f>"Benämning"</f>
        <v>Benämning</v>
      </c>
    </row>
    <row r="6" spans="2:4" ht="14.25">
      <c r="B6" s="1" t="str">
        <f>"Konto"</f>
        <v>Konto</v>
      </c>
      <c r="C6" s="1" t="str">
        <f>"Benämning"</f>
        <v>Benämning</v>
      </c>
      <c r="D6" s="1" t="str">
        <f>"Budgeterat"</f>
        <v>Budgeterat</v>
      </c>
    </row>
    <row r="7" spans="1:4" ht="14.25">
      <c r="A7" s="3"/>
      <c r="B7" s="3"/>
      <c r="C7" s="3"/>
      <c r="D7" s="3"/>
    </row>
    <row r="8" spans="1:2" ht="14.25">
      <c r="A8" s="1" t="str">
        <f>"Hamnen"</f>
        <v>Hamnen</v>
      </c>
      <c r="B8" s="1" t="str">
        <f>"Hamnen"</f>
        <v>Hamnen</v>
      </c>
    </row>
    <row r="9" spans="2:4" ht="14.25">
      <c r="B9" s="1" t="str">
        <f>"3911"</f>
        <v>3911</v>
      </c>
      <c r="C9" s="1" t="str">
        <f>"HAMN-avgift"</f>
        <v>HAMN-avgift</v>
      </c>
      <c r="D9" s="4">
        <v>112972</v>
      </c>
    </row>
    <row r="10" spans="2:4" ht="14.25">
      <c r="B10" s="1" t="str">
        <f>"3913"</f>
        <v>3913</v>
      </c>
      <c r="C10" s="1" t="str">
        <f>"SKÅP-hyra"</f>
        <v>SKÅP-hyra</v>
      </c>
      <c r="D10" s="4">
        <v>12075</v>
      </c>
    </row>
    <row r="11" spans="2:4" ht="14.25">
      <c r="B11" s="1" t="str">
        <f>"3914"</f>
        <v>3914</v>
      </c>
      <c r="C11" s="1" t="str">
        <f>"SOMMARPLATS-avgift"</f>
        <v>SOMMARPLATS-avgift</v>
      </c>
      <c r="D11" s="4">
        <v>13000</v>
      </c>
    </row>
    <row r="12" spans="2:4" ht="14.25">
      <c r="B12" s="1" t="str">
        <f>"4011"</f>
        <v>4011</v>
      </c>
      <c r="C12" s="1" t="str">
        <f>"HAMN - Frukost"</f>
        <v>HAMN - Frukost</v>
      </c>
      <c r="D12" s="4">
        <v>-2000</v>
      </c>
    </row>
    <row r="13" spans="2:4" ht="14.25">
      <c r="B13" s="1" t="str">
        <f>"4012"</f>
        <v>4012</v>
      </c>
      <c r="C13" s="1" t="str">
        <f>"HAMN - sillsexa"</f>
        <v>HAMN - sillsexa</v>
      </c>
      <c r="D13" s="4">
        <v>-6000</v>
      </c>
    </row>
    <row r="14" spans="2:4" ht="14.25">
      <c r="B14" s="1" t="str">
        <f>"4013"</f>
        <v>4013</v>
      </c>
      <c r="C14" s="1" t="str">
        <f>"HAMN - Bryggor"</f>
        <v>HAMN - Bryggor</v>
      </c>
      <c r="D14" s="4">
        <v>-3000</v>
      </c>
    </row>
    <row r="15" spans="2:4" ht="14.25">
      <c r="B15" s="1" t="str">
        <f>"4015"</f>
        <v>4015</v>
      </c>
      <c r="C15" s="1" t="str">
        <f>"HAMN - Båtar"</f>
        <v>HAMN - Båtar</v>
      </c>
      <c r="D15" s="4">
        <v>-3000</v>
      </c>
    </row>
    <row r="16" spans="2:4" ht="14.25">
      <c r="B16" s="1" t="str">
        <f>"4016"</f>
        <v>4016</v>
      </c>
      <c r="C16" s="1" t="str">
        <f>"HAMN - Klubbhus"</f>
        <v>HAMN - Klubbhus</v>
      </c>
      <c r="D16" s="4">
        <v>-1000</v>
      </c>
    </row>
    <row r="17" spans="2:4" ht="14.25">
      <c r="B17" s="1" t="str">
        <f>"4017"</f>
        <v>4017</v>
      </c>
      <c r="C17" s="1" t="str">
        <f>"HAMN - Inspektioner"</f>
        <v>HAMN - Inspektioner</v>
      </c>
      <c r="D17" s="4">
        <v>-4000</v>
      </c>
    </row>
    <row r="18" spans="2:4" ht="14.25">
      <c r="B18" s="1" t="str">
        <f>"4018"</f>
        <v>4018</v>
      </c>
      <c r="C18" s="1" t="str">
        <f>"HAMN - Förbrukning"</f>
        <v>HAMN - Förbrukning</v>
      </c>
      <c r="D18" s="4">
        <v>-3500</v>
      </c>
    </row>
    <row r="19" spans="2:4" ht="14.25">
      <c r="B19" s="1" t="str">
        <f>"4019"</f>
        <v>4019</v>
      </c>
      <c r="C19" s="1" t="str">
        <f>"HAMN - Oförutsett"</f>
        <v>HAMN - Oförutsett</v>
      </c>
      <c r="D19" s="4">
        <v>-15000</v>
      </c>
    </row>
    <row r="20" spans="2:4" ht="14.25">
      <c r="B20" s="1" t="str">
        <f>"4051"</f>
        <v>4051</v>
      </c>
      <c r="C20" s="1" t="str">
        <f>"HAMN - Investeringar verktyg"</f>
        <v>HAMN - Investeringar verktyg</v>
      </c>
      <c r="D20" s="4">
        <v>-5000</v>
      </c>
    </row>
    <row r="21" spans="2:4" ht="14.25">
      <c r="B21" s="1" t="str">
        <f>"4052"</f>
        <v>4052</v>
      </c>
      <c r="C21" s="1" t="str">
        <f>"HAMN - Investeringar Skåp"</f>
        <v>HAMN - Investeringar Skåp</v>
      </c>
      <c r="D21" s="4">
        <v>-29500</v>
      </c>
    </row>
    <row r="22" spans="2:4" ht="14.25">
      <c r="B22" s="1" t="str">
        <f>"5010"</f>
        <v>5010</v>
      </c>
      <c r="C22" s="1" t="str">
        <f>"ARRENDE - HAMN"</f>
        <v>ARRENDE - HAMN</v>
      </c>
      <c r="D22" s="4">
        <v>-11000</v>
      </c>
    </row>
    <row r="23" spans="2:4" ht="14.25">
      <c r="B23" s="1" t="str">
        <f>"5020"</f>
        <v>5020</v>
      </c>
      <c r="C23" s="1" t="str">
        <f>"EL - Hamn"</f>
        <v>EL - Hamn</v>
      </c>
      <c r="D23" s="4">
        <v>-15000</v>
      </c>
    </row>
    <row r="24" spans="2:4" ht="14.25">
      <c r="B24" s="1" t="str">
        <f>"5040"</f>
        <v>5040</v>
      </c>
      <c r="C24" s="1" t="str">
        <f>"VATTEN - HAMN"</f>
        <v>VATTEN - HAMN</v>
      </c>
      <c r="D24" s="4">
        <v>-1000</v>
      </c>
    </row>
    <row r="25" spans="2:4" ht="14.25">
      <c r="B25" s="1" t="str">
        <f>"5060"</f>
        <v>5060</v>
      </c>
      <c r="C25" s="1" t="str">
        <f>"SOPHÄMTNING - HAMN"</f>
        <v>SOPHÄMTNING - HAMN</v>
      </c>
      <c r="D25" s="4">
        <v>-800</v>
      </c>
    </row>
    <row r="26" spans="2:4" ht="14.25">
      <c r="B26" s="1" t="str">
        <f>"6310"</f>
        <v>6310</v>
      </c>
      <c r="C26" s="1" t="str">
        <f>"FÖRSÄKRING HAMN"</f>
        <v>FÖRSÄKRING HAMN</v>
      </c>
      <c r="D26" s="4">
        <v>-13200</v>
      </c>
    </row>
    <row r="27" spans="1:4" ht="14.25">
      <c r="A27" s="3"/>
      <c r="B27" s="3"/>
      <c r="C27" s="3"/>
      <c r="D27" s="3"/>
    </row>
    <row r="28" spans="1:4" ht="14.25">
      <c r="A28" s="1" t="str">
        <f>"Resultat"</f>
        <v>Resultat</v>
      </c>
      <c r="D28" s="4">
        <f>SUM(D9:D27)</f>
        <v>25047</v>
      </c>
    </row>
    <row r="29" spans="3:4" ht="14.25">
      <c r="C29" t="s">
        <v>10</v>
      </c>
      <c r="D29" s="4">
        <v>-13805</v>
      </c>
    </row>
    <row r="30" ht="14.25">
      <c r="D30" s="4">
        <f>SUM(D28:D29)</f>
        <v>11242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2">
      <selection activeCell="B8" sqref="B8:D21"/>
    </sheetView>
  </sheetViews>
  <sheetFormatPr defaultColWidth="9.140625" defaultRowHeight="15"/>
  <cols>
    <col min="1" max="1" width="29.8515625" style="0" bestFit="1" customWidth="1"/>
    <col min="2" max="2" width="13.421875" style="0" bestFit="1" customWidth="1"/>
    <col min="3" max="3" width="35.57421875" style="0" bestFit="1" customWidth="1"/>
    <col min="4" max="4" width="10.421875" style="0" bestFit="1" customWidth="1"/>
  </cols>
  <sheetData>
    <row r="1" spans="1:4" ht="14.25">
      <c r="A1" s="1" t="str">
        <f>"SegelSällskapet Gäddviken, SSG"</f>
        <v>SegelSällskapet Gäddviken, SSG</v>
      </c>
      <c r="C1" s="1" t="str">
        <f>"Sida:"</f>
        <v>Sida:</v>
      </c>
      <c r="D1" s="1" t="str">
        <f>"1"</f>
        <v>1</v>
      </c>
    </row>
    <row r="2" spans="1:4" ht="14.25">
      <c r="A2" s="1" t="str">
        <f>"Resultatbudget"</f>
        <v>Resultatbudget</v>
      </c>
      <c r="C2" s="1" t="str">
        <f>"Utskrivet:"</f>
        <v>Utskrivet:</v>
      </c>
      <c r="D2" s="2">
        <v>42757</v>
      </c>
    </row>
    <row r="3" ht="14.25">
      <c r="D3" s="1" t="str">
        <f>"12:11"</f>
        <v>12:11</v>
      </c>
    </row>
    <row r="4" spans="1:3" ht="14.25">
      <c r="A4" s="1" t="str">
        <f>"Räkenskapsår: 17-01-01 - 17-12-31"</f>
        <v>Räkenskapsår: 17-01-01 - 17-12-31</v>
      </c>
      <c r="C4" s="1" t="str">
        <f>"Senaste vernr:"</f>
        <v>Senaste vernr:</v>
      </c>
    </row>
    <row r="5" spans="1:2" ht="14.25">
      <c r="A5" s="1" t="str">
        <f>"Resultatenhet"</f>
        <v>Resultatenhet</v>
      </c>
      <c r="B5" s="1" t="str">
        <f>"Benämning"</f>
        <v>Benämning</v>
      </c>
    </row>
    <row r="6" spans="2:4" ht="14.25">
      <c r="B6" s="1" t="str">
        <f>"Konto"</f>
        <v>Konto</v>
      </c>
      <c r="C6" s="1" t="str">
        <f>"Benämning"</f>
        <v>Benämning</v>
      </c>
      <c r="D6" s="1" t="str">
        <f>"Budgeterat"</f>
        <v>Budgeterat</v>
      </c>
    </row>
    <row r="7" spans="1:4" ht="14.25">
      <c r="A7" s="3"/>
      <c r="B7" s="3"/>
      <c r="C7" s="3"/>
      <c r="D7" s="3"/>
    </row>
    <row r="8" spans="1:2" ht="14.25">
      <c r="A8" s="1" t="str">
        <f>"G-rega"</f>
        <v>G-rega</v>
      </c>
      <c r="B8" s="1" t="str">
        <f>"Gäddisregattan"</f>
        <v>Gäddisregattan</v>
      </c>
    </row>
    <row r="9" spans="2:4" ht="14.25">
      <c r="B9" s="1" t="str">
        <f>"3053"</f>
        <v>3053</v>
      </c>
      <c r="C9" s="1" t="str">
        <f>"ANMÄLNINGSAVGIFT - GÄDDISREGATTAN"</f>
        <v>ANMÄLNINGSAVGIFT - GÄDDISREGATTAN</v>
      </c>
      <c r="D9" s="4">
        <v>8000</v>
      </c>
    </row>
    <row r="10" spans="2:4" ht="14.25">
      <c r="B10" s="1" t="str">
        <f>"3054"</f>
        <v>3054</v>
      </c>
      <c r="C10" s="1" t="str">
        <f>"Middagsförsäljning- GÄDDISREGATTAN"</f>
        <v>Middagsförsäljning- GÄDDISREGATTAN</v>
      </c>
      <c r="D10" s="4">
        <v>29000</v>
      </c>
    </row>
    <row r="11" spans="2:4" ht="14.25">
      <c r="B11" s="1" t="str">
        <f>"3055"</f>
        <v>3055</v>
      </c>
      <c r="C11" s="1" t="str">
        <f>"Pub Försäljning  - GÄDDISREGATTAN"</f>
        <v>Pub Försäljning  - GÄDDISREGATTAN</v>
      </c>
      <c r="D11" s="4">
        <v>12000</v>
      </c>
    </row>
    <row r="12" spans="2:4" ht="14.25">
      <c r="B12" s="1" t="str">
        <f>"4060"</f>
        <v>4060</v>
      </c>
      <c r="C12" s="1" t="str">
        <f>"GÄDDISREGATTAN - Middag"</f>
        <v>GÄDDISREGATTAN - Middag</v>
      </c>
      <c r="D12" s="4">
        <v>-24000</v>
      </c>
    </row>
    <row r="13" spans="2:4" ht="14.25">
      <c r="B13" s="1" t="str">
        <f>"4061"</f>
        <v>4061</v>
      </c>
      <c r="C13" s="1" t="str">
        <f>"GÄDDISREGATTAN - avgifter"</f>
        <v>GÄDDISREGATTAN - avgifter</v>
      </c>
      <c r="D13" s="4">
        <v>-1100</v>
      </c>
    </row>
    <row r="14" spans="2:4" ht="14.25">
      <c r="B14" s="1" t="str">
        <f>"4062"</f>
        <v>4062</v>
      </c>
      <c r="C14" s="1" t="str">
        <f>"GÄDDISREGATTAN - Systembolaget"</f>
        <v>GÄDDISREGATTAN - Systembolaget</v>
      </c>
      <c r="D14" s="4">
        <v>-9000</v>
      </c>
    </row>
    <row r="15" spans="2:4" ht="14.25">
      <c r="B15" s="1" t="str">
        <f>"4063"</f>
        <v>4063</v>
      </c>
      <c r="C15" s="1" t="str">
        <f>"GÄDDISREGATTAN - priser"</f>
        <v>GÄDDISREGATTAN - priser</v>
      </c>
      <c r="D15" s="4">
        <v>-1100</v>
      </c>
    </row>
    <row r="16" spans="2:4" ht="14.25">
      <c r="B16" s="1" t="str">
        <f>"4064"</f>
        <v>4064</v>
      </c>
      <c r="C16" s="1" t="str">
        <f>"GÄDDISREGATTAN - drivmedel"</f>
        <v>GÄDDISREGATTAN - drivmedel</v>
      </c>
      <c r="D16" s="4">
        <v>-2000</v>
      </c>
    </row>
    <row r="17" spans="2:4" ht="14.25">
      <c r="B17" s="1" t="str">
        <f>"4067"</f>
        <v>4067</v>
      </c>
      <c r="C17" s="1" t="str">
        <f>"GÄDDISREGATTAN - porslin"</f>
        <v>GÄDDISREGATTAN - porslin</v>
      </c>
      <c r="D17" s="4">
        <v>-2000</v>
      </c>
    </row>
    <row r="18" spans="2:4" ht="14.25">
      <c r="B18" s="1" t="str">
        <f>"4068"</f>
        <v>4068</v>
      </c>
      <c r="C18" s="1" t="str">
        <f>"GÄDDISREGATTAN - sophämtning"</f>
        <v>GÄDDISREGATTAN - sophämtning</v>
      </c>
      <c r="D18" s="4">
        <v>-1500</v>
      </c>
    </row>
    <row r="19" spans="2:4" ht="14.25">
      <c r="B19" s="1" t="str">
        <f>"4069"</f>
        <v>4069</v>
      </c>
      <c r="C19" s="1" t="str">
        <f>"GÄDDISREGATTAN - livsmedel etc"</f>
        <v>GÄDDISREGATTAN - livsmedel etc</v>
      </c>
      <c r="D19" s="4">
        <v>-7000</v>
      </c>
    </row>
    <row r="20" spans="1:4" ht="14.25">
      <c r="A20" s="3"/>
      <c r="B20" s="3"/>
      <c r="C20" s="3"/>
      <c r="D20" s="3"/>
    </row>
    <row r="21" spans="1:4" ht="14.25">
      <c r="A21" s="1" t="str">
        <f>"Resultat"</f>
        <v>Resultat</v>
      </c>
      <c r="D21" s="4">
        <v>1300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Nordin</dc:creator>
  <cp:keywords/>
  <dc:description/>
  <cp:lastModifiedBy>Maria Nordin</cp:lastModifiedBy>
  <dcterms:created xsi:type="dcterms:W3CDTF">2017-01-22T11:10:40Z</dcterms:created>
  <dcterms:modified xsi:type="dcterms:W3CDTF">2018-01-22T20:08:29Z</dcterms:modified>
  <cp:category/>
  <cp:version/>
  <cp:contentType/>
  <cp:contentStatus/>
</cp:coreProperties>
</file>